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gif" ContentType="image/gif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codeName="ЭтаКнига" defaultThemeVersion="124226"/>
  <bookViews>
    <workbookView xWindow="-15" yWindow="6015" windowWidth="19260" windowHeight="6075" tabRatio="841"/>
  </bookViews>
  <sheets>
    <sheet name="Оглавление" sheetId="35" r:id="rId1"/>
    <sheet name="Ликвидация и Акции" sheetId="67" r:id="rId2"/>
    <sheet name="1 Grand Line" sheetId="88" r:id="rId3"/>
    <sheet name="2 Optima" sheetId="89" r:id="rId4"/>
    <sheet name="3 Комп. черепица GL" sheetId="130" r:id="rId5"/>
    <sheet name="4 Комп. черепица Decra" sheetId="127" r:id="rId6"/>
    <sheet name="5 Комп. черепица Luxard" sheetId="118" r:id="rId7"/>
    <sheet name="6 Мягкая кровля" sheetId="61" r:id="rId8"/>
    <sheet name="7 ЦПЧ BalticTile" sheetId="123" r:id="rId9"/>
    <sheet name="8 Доборные элементы" sheetId="120" r:id="rId10"/>
    <sheet name="9 Доборные элементы фасад" sheetId="121" r:id="rId11"/>
    <sheet name="10 Утеплители" sheetId="133" r:id="rId12"/>
    <sheet name="11 Дымники и Флюгеры" sheetId="114" r:id="rId13"/>
    <sheet name="12 Упаковка" sheetId="7" r:id="rId14"/>
    <sheet name="13 Инструмент GL 1" sheetId="124" r:id="rId15"/>
    <sheet name="14 Инструмент GL 2" sheetId="125" r:id="rId16"/>
    <sheet name="15 Инструмент GL 3" sheetId="126" r:id="rId17"/>
    <sheet name="16 Комплектующие" sheetId="70" r:id="rId18"/>
    <sheet name="17 Гидро-пароизоляция" sheetId="85" r:id="rId19"/>
    <sheet name="18 ЭБК GL" sheetId="129" r:id="rId20"/>
    <sheet name="19 ЭБК Optima" sheetId="14" r:id="rId21"/>
    <sheet name="20 Водосточные системы GL" sheetId="56" r:id="rId22"/>
    <sheet name="21 Водосточная система Optima" sheetId="58" r:id="rId23"/>
    <sheet name="22 Виниловый сайдинг GL AMERIKA" sheetId="113" r:id="rId24"/>
    <sheet name="23 Декоративные элементы" sheetId="18" r:id="rId25"/>
    <sheet name="24 Виниловый водосток Rohrfit" sheetId="19" r:id="rId26"/>
    <sheet name="25 Wandstein" sheetId="20" r:id="rId27"/>
    <sheet name="26 Панельные ограждения GL" sheetId="95" r:id="rId28"/>
    <sheet name="27 Эл-ты панельных ограждений" sheetId="22" r:id="rId29"/>
    <sheet name="28 Модульные ограждения GL" sheetId="23" r:id="rId30"/>
    <sheet name="29 Врем.огр.+Рулон+Штакет+Трубы" sheetId="24" r:id="rId31"/>
    <sheet name="30 Откатные ворота" sheetId="25" r:id="rId32"/>
    <sheet name="31 Распашные ворота и калитки" sheetId="26" r:id="rId33"/>
    <sheet name="32 Locinox" sheetId="94" r:id="rId34"/>
    <sheet name="33 Fakro" sheetId="122" r:id="rId35"/>
    <sheet name="34 VELUX OPTIMA" sheetId="115" r:id="rId36"/>
    <sheet name="35 VELUX PREMIUM" sheetId="116" r:id="rId37"/>
    <sheet name="36 Вентиляция Krovent" sheetId="91" r:id="rId38"/>
    <sheet name="37 Вентиляция Vilpe" sheetId="92" r:id="rId39"/>
    <sheet name="38 Фиброцементный сайдинг" sheetId="104" r:id="rId40"/>
    <sheet name="39 Теплицы+Террас.доска" sheetId="131" r:id="rId41"/>
    <sheet name="40 Рекламная продукция GL" sheetId="128" r:id="rId42"/>
  </sheets>
  <definedNames>
    <definedName name="__xlnm.Print_Area" localSheetId="34">'33 Fakro'!$A$1:$U$77</definedName>
    <definedName name="_xlnm._FilterDatabase" localSheetId="2" hidden="1">'1 Grand Line'!#REF!</definedName>
    <definedName name="_xlnm._FilterDatabase" localSheetId="13" hidden="1">'12 Упаковка'!#REF!</definedName>
    <definedName name="_xlnm._FilterDatabase" localSheetId="3" hidden="1">'2 Optima'!#REF!</definedName>
    <definedName name="cbr" localSheetId="17">'16 Комплектующие'!$A$7:$C$3946</definedName>
    <definedName name="cbr" localSheetId="18">'17 Гидро-пароизоляция'!$A$7:$C$3950</definedName>
    <definedName name="cbr_1" localSheetId="17">'16 Комплектующие'!$FE$12:$FG$215</definedName>
    <definedName name="cbr_1" localSheetId="18">'17 Гидро-пароизоляция'!$FD$12:$FF$250</definedName>
    <definedName name="cbr_2" localSheetId="17">'16 Комплектующие'!$FE$12:$FG$250</definedName>
    <definedName name="cbr_2" localSheetId="18">'17 Гидро-пароизоляция'!$FD$12:$FF$250</definedName>
    <definedName name="dynamics.aspx?VAL_NM_RQ_R01239_date_req1_01.08.2015_date_req2_08.08.2015_rt_1_mode_1" localSheetId="17">'16 Комплектующие'!#REF!</definedName>
    <definedName name="dynamics.aspx?VAL_NM_RQ_R01239_date_req1_01.08.2015_date_req2_08.08.2015_rt_1_mode_1" localSheetId="18">'17 Гидро-пароизоляция'!#REF!</definedName>
    <definedName name="Print_Area" localSheetId="30">'29 Врем.огр.+Рулон+Штакет+Трубы'!$A$1:$N$54</definedName>
    <definedName name="Print_Area" localSheetId="32">'31 Распашные ворота и калитки'!$A$1:$I$73</definedName>
    <definedName name="_xlnm.Print_Area" localSheetId="2">'1 Grand Line'!$A$1:$N$72</definedName>
    <definedName name="_xlnm.Print_Area" localSheetId="11">'10 Утеплители'!$A$1:$N$43</definedName>
    <definedName name="_xlnm.Print_Area" localSheetId="12">'11 Дымники и Флюгеры'!$A$1:$N$56</definedName>
    <definedName name="_xlnm.Print_Area" localSheetId="13">'12 Упаковка'!$A$1:$T$88</definedName>
    <definedName name="_xlnm.Print_Area" localSheetId="14">'13 Инструмент GL 1'!$A$1:$F$86</definedName>
    <definedName name="_xlnm.Print_Area" localSheetId="15">'14 Инструмент GL 2'!$A$1:$F$83</definedName>
    <definedName name="_xlnm.Print_Area" localSheetId="16">'15 Инструмент GL 3'!$A$1:$F$86</definedName>
    <definedName name="_xlnm.Print_Area" localSheetId="17">'16 Комплектующие'!$A$1:$S$68</definedName>
    <definedName name="_xlnm.Print_Area" localSheetId="18">'17 Гидро-пароизоляция'!$A$1:$H$50</definedName>
    <definedName name="_xlnm.Print_Area" localSheetId="19">'18 ЭБК GL'!$B$1:$I$46</definedName>
    <definedName name="_xlnm.Print_Area" localSheetId="20">'19 ЭБК Optima'!$A$1:$H$46</definedName>
    <definedName name="_xlnm.Print_Area" localSheetId="3">'2 Optima'!$A$1:$Y$78</definedName>
    <definedName name="_xlnm.Print_Area" localSheetId="21">'20 Водосточные системы GL'!$A$1:$H$56</definedName>
    <definedName name="_xlnm.Print_Area" localSheetId="22">'21 Водосточная система Optima'!$A$1:$F$40</definedName>
    <definedName name="_xlnm.Print_Area" localSheetId="23">'22 Виниловый сайдинг GL AMERIKA'!$A$1:$T$55</definedName>
    <definedName name="_xlnm.Print_Area" localSheetId="24">'23 Декоративные элементы'!$A$1:$F$90</definedName>
    <definedName name="_xlnm.Print_Area" localSheetId="25">'24 Виниловый водосток Rohrfit'!$A$1:$E$46</definedName>
    <definedName name="_xlnm.Print_Area" localSheetId="26">'25 Wandstein'!$A$1:$N$66</definedName>
    <definedName name="_xlnm.Print_Area" localSheetId="27">'26 Панельные ограждения GL'!$A$1:$J$56</definedName>
    <definedName name="_xlnm.Print_Area" localSheetId="28">'27 Эл-ты панельных ограждений'!$A$1:$I$73</definedName>
    <definedName name="_xlnm.Print_Area" localSheetId="29">'28 Модульные ограждения GL'!$A$1:$U$61</definedName>
    <definedName name="_xlnm.Print_Area" localSheetId="30">'29 Врем.огр.+Рулон+Штакет+Трубы'!$A$1:$M$52</definedName>
    <definedName name="_xlnm.Print_Area" localSheetId="4">'3 Комп. черепица GL'!$A$1:$M$37</definedName>
    <definedName name="_xlnm.Print_Area" localSheetId="31">'30 Откатные ворота'!$A$1:$J$38</definedName>
    <definedName name="_xlnm.Print_Area" localSheetId="32">'31 Распашные ворота и калитки'!$A$1:$I$68</definedName>
    <definedName name="_xlnm.Print_Area" localSheetId="33">'32 Locinox'!$A$1:$M$68</definedName>
    <definedName name="_xlnm.Print_Area" localSheetId="34">'33 Fakro'!$A$1:$U$74</definedName>
    <definedName name="_xlnm.Print_Area" localSheetId="35">'34 VELUX OPTIMA'!$A$1:$R$82</definedName>
    <definedName name="_xlnm.Print_Area" localSheetId="36">'35 VELUX PREMIUM'!$A$1:$R$75</definedName>
    <definedName name="_xlnm.Print_Area" localSheetId="37">'36 Вентиляция Krovent'!$A$1:$K$93</definedName>
    <definedName name="_xlnm.Print_Area" localSheetId="38">'37 Вентиляция Vilpe'!$A$1:$D$93</definedName>
    <definedName name="_xlnm.Print_Area" localSheetId="39">'38 Фиброцементный сайдинг'!$A$2:$L$53</definedName>
    <definedName name="_xlnm.Print_Area" localSheetId="40">'39 Теплицы+Террас.доска'!$A$1:$H$50</definedName>
    <definedName name="_xlnm.Print_Area" localSheetId="5">'4 Комп. черепица Decra'!$A$1:$N$49</definedName>
    <definedName name="_xlnm.Print_Area" localSheetId="41">'40 Рекламная продукция GL'!$A$1:$J$60</definedName>
    <definedName name="_xlnm.Print_Area" localSheetId="6">'5 Комп. черепица Luxard'!$A$1:$M$42</definedName>
    <definedName name="_xlnm.Print_Area" localSheetId="7">'6 Мягкая кровля'!$A$1:$O$72</definedName>
    <definedName name="_xlnm.Print_Area" localSheetId="8">'7 ЦПЧ BalticTile'!$B$1:$N$56</definedName>
    <definedName name="_xlnm.Print_Area" localSheetId="9">'8 Доборные элементы'!$A$1:$T$82</definedName>
    <definedName name="_xlnm.Print_Area" localSheetId="10">'9 Доборные элементы фасад'!$A$1:$P$82</definedName>
    <definedName name="_xlnm.Print_Area" localSheetId="1">'Ликвидация и Акции'!$A$1:$H$36</definedName>
    <definedName name="_xlnm.Print_Area" localSheetId="0">Оглавление!$A$1:$N$44</definedName>
  </definedNames>
  <calcPr calcId="145621"/>
</workbook>
</file>

<file path=xl/calcChain.xml><?xml version="1.0" encoding="utf-8"?>
<calcChain xmlns="http://schemas.openxmlformats.org/spreadsheetml/2006/main">
  <c r="I29" i="113" l="1"/>
  <c r="H24" i="113"/>
  <c r="I24" i="113"/>
  <c r="I18" i="113"/>
  <c r="I30" i="113"/>
  <c r="I31" i="113"/>
  <c r="I20" i="113"/>
  <c r="I16" i="113"/>
  <c r="I15" i="113"/>
  <c r="H15" i="113"/>
  <c r="H29" i="113"/>
  <c r="H18" i="113"/>
  <c r="G43" i="89"/>
  <c r="G41" i="89"/>
  <c r="H17" i="89"/>
  <c r="G23" i="89"/>
  <c r="G22" i="89"/>
  <c r="G21" i="89"/>
  <c r="G20" i="89"/>
  <c r="G19" i="89"/>
  <c r="G18" i="89"/>
  <c r="G17" i="89"/>
  <c r="F39" i="89"/>
  <c r="F38" i="89"/>
  <c r="F37" i="89"/>
  <c r="F36" i="89"/>
  <c r="F43" i="89"/>
  <c r="F41" i="89"/>
  <c r="F34" i="89"/>
  <c r="F33" i="89"/>
  <c r="F27" i="89"/>
  <c r="F26" i="89"/>
  <c r="F25" i="89"/>
  <c r="F23" i="89"/>
  <c r="F22" i="89"/>
  <c r="F20" i="89"/>
  <c r="F19" i="89"/>
  <c r="F18" i="89"/>
  <c r="F17" i="89"/>
  <c r="F21" i="89"/>
  <c r="H17" i="121"/>
  <c r="I34" i="22" l="1"/>
  <c r="I19" i="120"/>
  <c r="I29" i="120"/>
  <c r="I28" i="120"/>
  <c r="L37" i="88"/>
  <c r="M37" i="88"/>
  <c r="M32" i="89" l="1"/>
  <c r="M31" i="89"/>
  <c r="M30" i="89"/>
  <c r="M29" i="89"/>
  <c r="M28" i="89"/>
  <c r="M26" i="89"/>
  <c r="M23" i="89"/>
  <c r="M22" i="89"/>
  <c r="M33" i="89"/>
  <c r="M34" i="89"/>
  <c r="O32" i="89"/>
  <c r="O31" i="89"/>
  <c r="O30" i="89"/>
  <c r="O33" i="89"/>
  <c r="O34" i="89"/>
  <c r="N23" i="89"/>
  <c r="N22" i="89"/>
  <c r="N26" i="89"/>
  <c r="N33" i="89"/>
  <c r="N34" i="89"/>
  <c r="N32" i="89"/>
  <c r="N31" i="89"/>
  <c r="N30" i="89"/>
  <c r="N29" i="89"/>
  <c r="N28" i="89"/>
  <c r="J18" i="24" l="1"/>
  <c r="H75" i="120"/>
  <c r="G75" i="120"/>
  <c r="O75" i="120"/>
  <c r="K16" i="114"/>
  <c r="I71" i="120"/>
  <c r="H62" i="121"/>
  <c r="H61" i="121"/>
  <c r="H60" i="121"/>
  <c r="H59" i="121"/>
  <c r="H58" i="121"/>
  <c r="H56" i="121"/>
  <c r="H55" i="121"/>
  <c r="H54" i="121"/>
  <c r="H53" i="121"/>
  <c r="H52" i="121"/>
  <c r="H51" i="121"/>
  <c r="H50" i="121"/>
  <c r="H49" i="121"/>
  <c r="H47" i="121"/>
  <c r="H46" i="121"/>
  <c r="H45" i="121"/>
  <c r="H44" i="121"/>
  <c r="H43" i="121"/>
  <c r="H42" i="121"/>
  <c r="H40" i="121"/>
  <c r="H39" i="121"/>
  <c r="H38" i="121"/>
  <c r="H37" i="121"/>
  <c r="H36" i="121"/>
  <c r="H35" i="121"/>
  <c r="H34" i="121"/>
  <c r="H33" i="121"/>
  <c r="H32" i="121"/>
  <c r="H31" i="121"/>
  <c r="H30" i="121"/>
  <c r="H29" i="121"/>
  <c r="H28" i="121"/>
  <c r="H27" i="121"/>
  <c r="H26" i="121"/>
  <c r="H25" i="121"/>
  <c r="H24" i="121"/>
  <c r="H23" i="121"/>
  <c r="H22" i="121"/>
  <c r="H21" i="121"/>
  <c r="H20" i="121"/>
  <c r="H19" i="121"/>
  <c r="H18" i="121"/>
  <c r="I43" i="120"/>
  <c r="I42" i="120"/>
  <c r="I41" i="120"/>
  <c r="I40" i="120"/>
  <c r="I39" i="120"/>
  <c r="I38" i="120"/>
  <c r="I37" i="120"/>
  <c r="I36" i="120"/>
  <c r="I35" i="120"/>
  <c r="I34" i="120"/>
  <c r="I33" i="120"/>
  <c r="I32" i="120"/>
  <c r="I31" i="120"/>
  <c r="I30" i="120"/>
  <c r="I21" i="120"/>
  <c r="I49" i="120"/>
  <c r="I48" i="120"/>
  <c r="I47" i="120"/>
  <c r="I46" i="120"/>
  <c r="I57" i="120"/>
  <c r="I56" i="120"/>
  <c r="I55" i="120"/>
  <c r="I53" i="120"/>
  <c r="I52" i="120"/>
  <c r="I58" i="120"/>
  <c r="I64" i="120"/>
  <c r="I63" i="120"/>
  <c r="I62" i="120"/>
  <c r="I61" i="120"/>
  <c r="I60" i="120"/>
  <c r="I67" i="120"/>
  <c r="I68" i="120"/>
  <c r="I54" i="120"/>
  <c r="I45" i="120"/>
  <c r="I22" i="120"/>
  <c r="I20" i="120"/>
  <c r="I18" i="120"/>
  <c r="I17" i="120"/>
  <c r="I16" i="120"/>
  <c r="I23" i="120"/>
  <c r="H71" i="120"/>
  <c r="F31" i="89" l="1"/>
  <c r="F30" i="89"/>
  <c r="F29" i="89"/>
  <c r="F28" i="89"/>
  <c r="F42" i="89" l="1"/>
  <c r="F44" i="89"/>
  <c r="I19" i="113" l="1"/>
  <c r="H19" i="113"/>
  <c r="H30" i="113"/>
  <c r="E43" i="70" l="1"/>
  <c r="F35" i="85" l="1"/>
  <c r="F12" i="85"/>
  <c r="F75" i="120"/>
  <c r="M14" i="20"/>
  <c r="M12" i="20"/>
  <c r="M11" i="20"/>
  <c r="M10" i="20"/>
  <c r="F13" i="20"/>
  <c r="F10" i="20"/>
  <c r="F26" i="26" l="1"/>
  <c r="F25" i="26"/>
  <c r="F24" i="26"/>
  <c r="F23" i="26"/>
  <c r="D23" i="26"/>
  <c r="D78" i="91" l="1"/>
  <c r="N42" i="133" l="1"/>
  <c r="N41" i="133"/>
  <c r="N40" i="133"/>
  <c r="N39" i="133"/>
  <c r="N38" i="133"/>
  <c r="N37" i="133"/>
  <c r="N36" i="133"/>
  <c r="N35" i="133"/>
  <c r="N34" i="133"/>
  <c r="N24" i="133"/>
  <c r="N23" i="133"/>
  <c r="N22" i="133"/>
  <c r="N21" i="133"/>
  <c r="N20" i="133"/>
  <c r="N19" i="133"/>
  <c r="N18" i="133"/>
  <c r="N17" i="133"/>
  <c r="N16" i="133"/>
  <c r="N15" i="133"/>
  <c r="N14" i="133"/>
  <c r="N13" i="133"/>
  <c r="N12" i="133"/>
  <c r="N11" i="133"/>
  <c r="N10" i="133"/>
  <c r="P44" i="113"/>
  <c r="G34" i="131"/>
  <c r="G35" i="131"/>
  <c r="G32" i="131"/>
  <c r="G30" i="131"/>
  <c r="G28" i="131"/>
  <c r="G26" i="131"/>
  <c r="G24" i="131"/>
  <c r="G23" i="131"/>
  <c r="G22" i="131"/>
  <c r="G20" i="131"/>
  <c r="G18" i="131"/>
  <c r="G17" i="131"/>
  <c r="G16" i="131"/>
  <c r="G10" i="131"/>
  <c r="G7" i="131"/>
  <c r="G8" i="131" s="1"/>
  <c r="G9" i="131" s="1"/>
  <c r="F46" i="131"/>
  <c r="F45" i="131"/>
  <c r="F44" i="131"/>
  <c r="F43" i="131"/>
  <c r="F42" i="131"/>
  <c r="J34" i="89" l="1"/>
  <c r="J33" i="89"/>
  <c r="J29" i="89"/>
  <c r="J28" i="89"/>
  <c r="J26" i="89"/>
  <c r="J25" i="89"/>
  <c r="C16" i="92" l="1"/>
  <c r="L30" i="89" l="1"/>
  <c r="J47" i="24"/>
  <c r="I47" i="24"/>
  <c r="Y33" i="89"/>
  <c r="X33" i="89"/>
  <c r="W33" i="89"/>
  <c r="V33" i="89"/>
  <c r="U33" i="89"/>
  <c r="T33" i="89"/>
  <c r="S33" i="89"/>
  <c r="R33" i="89"/>
  <c r="Q33" i="89"/>
  <c r="G39" i="89"/>
  <c r="G38" i="89"/>
  <c r="L38" i="89"/>
  <c r="L44" i="89"/>
  <c r="L43" i="89"/>
  <c r="L42" i="89"/>
  <c r="L41" i="89"/>
  <c r="L23" i="89"/>
  <c r="L22" i="89"/>
  <c r="G44" i="89"/>
  <c r="G42" i="89"/>
  <c r="L29" i="89"/>
  <c r="K29" i="89"/>
  <c r="G37" i="89"/>
  <c r="G36" i="89"/>
  <c r="L37" i="89"/>
  <c r="L36" i="89"/>
  <c r="L34" i="89"/>
  <c r="L33" i="89"/>
  <c r="L28" i="89"/>
  <c r="L27" i="89"/>
  <c r="L26" i="89"/>
  <c r="K34" i="89"/>
  <c r="K33" i="89"/>
  <c r="K28" i="89"/>
  <c r="K26" i="89"/>
  <c r="L21" i="89"/>
  <c r="L25" i="89"/>
  <c r="K25" i="89"/>
  <c r="L20" i="89"/>
  <c r="K20" i="89"/>
  <c r="L50" i="24" l="1"/>
  <c r="K50" i="24"/>
  <c r="J75" i="120" l="1"/>
  <c r="P41" i="113" l="1"/>
  <c r="P39" i="113"/>
  <c r="O39" i="113"/>
  <c r="O41" i="113"/>
  <c r="N57" i="61"/>
  <c r="K63" i="122"/>
  <c r="C63" i="122"/>
  <c r="O43" i="120"/>
  <c r="G66" i="120" l="1"/>
  <c r="K15" i="88" l="1"/>
  <c r="D42" i="19"/>
  <c r="D41" i="19"/>
  <c r="D40" i="19"/>
  <c r="D39" i="19"/>
  <c r="D38" i="19"/>
  <c r="D37" i="19"/>
  <c r="D36" i="19"/>
  <c r="D35" i="19"/>
  <c r="D34" i="19"/>
  <c r="D33" i="19"/>
  <c r="D31" i="19"/>
  <c r="D30" i="19"/>
  <c r="D29" i="19"/>
  <c r="D28" i="19"/>
  <c r="D27" i="19"/>
  <c r="D26" i="19"/>
  <c r="D25" i="19"/>
  <c r="D24" i="19"/>
  <c r="D23" i="19"/>
  <c r="D22" i="19"/>
  <c r="D21" i="19"/>
  <c r="D20" i="19"/>
  <c r="D19" i="19"/>
  <c r="D18" i="19"/>
  <c r="D17" i="19"/>
  <c r="D16" i="19"/>
  <c r="I19" i="89" l="1"/>
  <c r="H19" i="89"/>
  <c r="K21" i="70"/>
  <c r="K51" i="70"/>
  <c r="C73" i="92"/>
  <c r="C67" i="92"/>
  <c r="C66" i="92"/>
  <c r="C76" i="92"/>
  <c r="C75" i="92"/>
  <c r="C74" i="92"/>
  <c r="C72" i="92"/>
  <c r="C71" i="92"/>
  <c r="C70" i="92"/>
  <c r="C69" i="92"/>
  <c r="C64" i="92"/>
  <c r="C63" i="92"/>
  <c r="C62" i="92"/>
  <c r="C57" i="92"/>
  <c r="C56" i="92"/>
  <c r="C55" i="92"/>
  <c r="C54" i="92"/>
  <c r="C53" i="92"/>
  <c r="C52" i="92"/>
  <c r="C49" i="92"/>
  <c r="C47" i="92"/>
  <c r="C46" i="92"/>
  <c r="C45" i="92"/>
  <c r="C42" i="92"/>
  <c r="C33" i="92"/>
  <c r="C32" i="92"/>
  <c r="C24" i="92"/>
  <c r="C23" i="92"/>
  <c r="C22" i="92"/>
  <c r="C18" i="92"/>
  <c r="C17" i="92"/>
  <c r="C84" i="92"/>
  <c r="C83" i="92"/>
  <c r="C82" i="92"/>
  <c r="C81" i="92"/>
  <c r="C80" i="92"/>
  <c r="C79" i="92"/>
  <c r="C78" i="92"/>
  <c r="C51" i="92"/>
  <c r="C50" i="92"/>
  <c r="C44" i="92"/>
  <c r="C43" i="92"/>
  <c r="C41" i="92"/>
  <c r="C40" i="92"/>
  <c r="C38" i="92"/>
  <c r="C36" i="92"/>
  <c r="C35" i="92"/>
  <c r="C34" i="92"/>
  <c r="C31" i="92"/>
  <c r="C30" i="92"/>
  <c r="C29" i="92"/>
  <c r="C28" i="92"/>
  <c r="C27" i="92"/>
  <c r="C26" i="92"/>
  <c r="C21" i="92"/>
  <c r="C20" i="92"/>
  <c r="C19" i="92"/>
  <c r="C15" i="92"/>
  <c r="C14" i="92"/>
  <c r="C13" i="92"/>
  <c r="C12" i="92"/>
  <c r="C60" i="92"/>
  <c r="C59" i="92"/>
  <c r="J50" i="24" l="1"/>
  <c r="I50" i="24"/>
  <c r="I45" i="22"/>
  <c r="I44" i="22"/>
  <c r="I54" i="22"/>
  <c r="K8" i="114" l="1"/>
  <c r="K10" i="114"/>
  <c r="K13" i="114"/>
  <c r="K11" i="114"/>
  <c r="N26" i="88"/>
  <c r="I22" i="22"/>
  <c r="O68" i="120"/>
  <c r="O67" i="120"/>
  <c r="O64" i="120"/>
  <c r="O63" i="120"/>
  <c r="O62" i="120"/>
  <c r="O61" i="120"/>
  <c r="O60" i="120"/>
  <c r="O58" i="120"/>
  <c r="O57" i="120"/>
  <c r="O56" i="120"/>
  <c r="O55" i="120"/>
  <c r="O54" i="120"/>
  <c r="O53" i="120"/>
  <c r="O52" i="120"/>
  <c r="O49" i="120"/>
  <c r="O48" i="120"/>
  <c r="O47" i="120"/>
  <c r="O46" i="120"/>
  <c r="O45" i="120"/>
  <c r="O42" i="120"/>
  <c r="O41" i="120"/>
  <c r="O40" i="120"/>
  <c r="O39" i="120"/>
  <c r="O38" i="120"/>
  <c r="O37" i="120"/>
  <c r="O36" i="120"/>
  <c r="O35" i="120"/>
  <c r="O34" i="120"/>
  <c r="O33" i="120"/>
  <c r="O32" i="120"/>
  <c r="O31" i="120"/>
  <c r="O30" i="120"/>
  <c r="O29" i="120"/>
  <c r="O28" i="120"/>
  <c r="O27" i="120"/>
  <c r="O26" i="120"/>
  <c r="O25" i="120"/>
  <c r="O24" i="120"/>
  <c r="O23" i="120"/>
  <c r="O22" i="120"/>
  <c r="O21" i="120"/>
  <c r="O20" i="120"/>
  <c r="O19" i="120"/>
  <c r="O18" i="120"/>
  <c r="O17" i="120"/>
  <c r="O16" i="120"/>
  <c r="P68" i="120"/>
  <c r="P67" i="120"/>
  <c r="P64" i="120"/>
  <c r="P63" i="120"/>
  <c r="P62" i="120"/>
  <c r="P61" i="120"/>
  <c r="P60" i="120"/>
  <c r="P58" i="120"/>
  <c r="P57" i="120"/>
  <c r="P56" i="120"/>
  <c r="P55" i="120"/>
  <c r="P54" i="120"/>
  <c r="P53" i="120"/>
  <c r="P52" i="120"/>
  <c r="P49" i="120"/>
  <c r="P48" i="120"/>
  <c r="P47" i="120"/>
  <c r="P46" i="120"/>
  <c r="P45" i="120"/>
  <c r="P43" i="120"/>
  <c r="P42" i="120"/>
  <c r="P41" i="120"/>
  <c r="P40" i="120"/>
  <c r="P39" i="120"/>
  <c r="P38" i="120"/>
  <c r="P37" i="120"/>
  <c r="P36" i="120"/>
  <c r="P35" i="120"/>
  <c r="P34" i="120"/>
  <c r="P33" i="120"/>
  <c r="P32" i="120"/>
  <c r="P31" i="120"/>
  <c r="P30" i="120"/>
  <c r="P29" i="120"/>
  <c r="P28" i="120"/>
  <c r="P27" i="120"/>
  <c r="P26" i="120"/>
  <c r="P25" i="120"/>
  <c r="P24" i="120"/>
  <c r="H43" i="95"/>
  <c r="G40" i="129"/>
  <c r="H40" i="129" s="1"/>
  <c r="H39" i="129"/>
  <c r="G39" i="129"/>
  <c r="H38" i="129"/>
  <c r="G38" i="129"/>
  <c r="H37" i="129"/>
  <c r="G37" i="129"/>
  <c r="G36" i="129"/>
  <c r="G35" i="129"/>
  <c r="G34" i="129"/>
  <c r="G33" i="129"/>
  <c r="G32" i="129"/>
  <c r="G31" i="129"/>
  <c r="G30" i="129"/>
  <c r="G29" i="129"/>
  <c r="G28" i="129"/>
  <c r="G27" i="129"/>
  <c r="G26" i="129"/>
  <c r="G25" i="129"/>
  <c r="G24" i="129"/>
  <c r="G23" i="129"/>
  <c r="G22" i="129"/>
  <c r="G21" i="129"/>
  <c r="G20" i="129"/>
  <c r="G19" i="129"/>
  <c r="G18" i="129"/>
  <c r="G17" i="129"/>
  <c r="H16" i="129"/>
  <c r="G16" i="129"/>
  <c r="G15" i="129"/>
  <c r="H15" i="129" s="1"/>
  <c r="H14" i="129"/>
  <c r="G14" i="129"/>
  <c r="H13" i="129"/>
  <c r="G13" i="129"/>
  <c r="H12" i="129"/>
  <c r="G12" i="129"/>
  <c r="H11" i="129"/>
  <c r="G11" i="129"/>
  <c r="H10" i="129"/>
  <c r="G10" i="129"/>
  <c r="H9" i="129"/>
  <c r="G9" i="129"/>
  <c r="H64" i="61"/>
  <c r="H29" i="120"/>
  <c r="H28" i="120"/>
  <c r="H27" i="120"/>
  <c r="H25" i="120"/>
  <c r="H24" i="120"/>
  <c r="H68" i="120" l="1"/>
  <c r="H67" i="120"/>
  <c r="H64" i="120"/>
  <c r="H63" i="120"/>
  <c r="H62" i="120"/>
  <c r="H61" i="120"/>
  <c r="H60" i="120"/>
  <c r="H58" i="120"/>
  <c r="H57" i="120"/>
  <c r="H56" i="120"/>
  <c r="H55" i="120"/>
  <c r="H54" i="120"/>
  <c r="H53" i="120"/>
  <c r="H52" i="120"/>
  <c r="H49" i="120"/>
  <c r="H48" i="120"/>
  <c r="H47" i="120"/>
  <c r="H46" i="120"/>
  <c r="H45" i="120"/>
  <c r="H43" i="120"/>
  <c r="H42" i="120"/>
  <c r="H41" i="120"/>
  <c r="H40" i="120"/>
  <c r="H39" i="120"/>
  <c r="H38" i="120"/>
  <c r="H37" i="120"/>
  <c r="H36" i="120"/>
  <c r="H35" i="120"/>
  <c r="H34" i="120"/>
  <c r="H33" i="120"/>
  <c r="H32" i="120"/>
  <c r="H31" i="120"/>
  <c r="H30" i="120"/>
  <c r="H22" i="120"/>
  <c r="H21" i="120"/>
  <c r="H20" i="120"/>
  <c r="H19" i="120"/>
  <c r="H18" i="120"/>
  <c r="H17" i="120"/>
  <c r="H16" i="120"/>
  <c r="G27" i="121" l="1"/>
  <c r="G19" i="121"/>
  <c r="G40" i="121"/>
  <c r="G39" i="121"/>
  <c r="G38" i="121"/>
  <c r="G37" i="121"/>
  <c r="G36" i="121"/>
  <c r="G35" i="121"/>
  <c r="G34" i="121"/>
  <c r="G33" i="121"/>
  <c r="G32" i="121"/>
  <c r="G31" i="121"/>
  <c r="G30" i="121"/>
  <c r="G29" i="121"/>
  <c r="G28" i="121"/>
  <c r="G26" i="121"/>
  <c r="G25" i="121"/>
  <c r="G24" i="121"/>
  <c r="G23" i="121"/>
  <c r="G22" i="121"/>
  <c r="G21" i="121"/>
  <c r="G20" i="121"/>
  <c r="G18" i="121"/>
  <c r="G17" i="121"/>
  <c r="N35" i="121"/>
  <c r="G47" i="121"/>
  <c r="G46" i="121"/>
  <c r="G45" i="121"/>
  <c r="G44" i="121"/>
  <c r="G43" i="121"/>
  <c r="G42" i="121"/>
  <c r="N26" i="121"/>
  <c r="I27" i="89"/>
  <c r="I26" i="89"/>
  <c r="I30" i="89"/>
  <c r="I29" i="89"/>
  <c r="I28" i="89"/>
  <c r="H27" i="89"/>
  <c r="H30" i="89"/>
  <c r="M44" i="24"/>
  <c r="M43" i="24"/>
  <c r="M40" i="24"/>
  <c r="L49" i="24"/>
  <c r="L48" i="24"/>
  <c r="L47" i="24"/>
  <c r="K49" i="24"/>
  <c r="K48" i="24"/>
  <c r="K47" i="24"/>
  <c r="J48" i="24"/>
  <c r="J44" i="24"/>
  <c r="J43" i="24"/>
  <c r="J40" i="24"/>
  <c r="I48" i="24"/>
  <c r="I44" i="24"/>
  <c r="I43" i="24"/>
  <c r="I40" i="24"/>
  <c r="M35" i="24"/>
  <c r="L35" i="24"/>
  <c r="K35" i="24"/>
  <c r="J35" i="24"/>
  <c r="I35" i="24"/>
  <c r="H35" i="24"/>
  <c r="G35" i="24"/>
  <c r="F35" i="24"/>
  <c r="E35" i="24"/>
  <c r="D35" i="24"/>
  <c r="C35" i="24"/>
  <c r="F63" i="26"/>
  <c r="F62" i="26"/>
  <c r="F57" i="26"/>
  <c r="F56" i="26"/>
  <c r="F55" i="26"/>
  <c r="F54" i="26"/>
  <c r="F50" i="26"/>
  <c r="F49" i="26"/>
  <c r="F48" i="26"/>
  <c r="F47" i="26"/>
  <c r="F39" i="26"/>
  <c r="F38" i="26"/>
  <c r="F37" i="26"/>
  <c r="F35" i="26"/>
  <c r="F34" i="26"/>
  <c r="F33" i="26"/>
  <c r="F19" i="26"/>
  <c r="F18" i="26"/>
  <c r="F17" i="26"/>
  <c r="F14" i="26"/>
  <c r="F13" i="26"/>
  <c r="F12" i="26"/>
  <c r="F11" i="26"/>
  <c r="F10" i="26"/>
  <c r="I51" i="23"/>
  <c r="I50" i="23"/>
  <c r="I49" i="23"/>
  <c r="I48" i="23"/>
  <c r="I47" i="23"/>
  <c r="I46" i="23"/>
  <c r="I45" i="23"/>
  <c r="I44" i="23"/>
  <c r="I43" i="23"/>
  <c r="I42" i="23"/>
  <c r="I41" i="23"/>
  <c r="I40" i="23"/>
  <c r="I39" i="23"/>
  <c r="I38" i="23"/>
  <c r="I37" i="23"/>
  <c r="I36" i="23"/>
  <c r="I35" i="23"/>
  <c r="I34" i="23"/>
  <c r="I33" i="23"/>
  <c r="I32" i="23"/>
  <c r="I31" i="23"/>
  <c r="I30" i="23"/>
  <c r="I29" i="23"/>
  <c r="T71" i="120"/>
  <c r="S71" i="120"/>
  <c r="R71" i="120"/>
  <c r="Q71" i="120"/>
  <c r="P71" i="120"/>
  <c r="O71" i="120"/>
  <c r="N71" i="120"/>
  <c r="H19" i="88"/>
  <c r="M71" i="120"/>
  <c r="L71" i="120"/>
  <c r="K71" i="120"/>
  <c r="J71" i="120"/>
  <c r="G71" i="120"/>
  <c r="F71" i="120"/>
  <c r="E71" i="120"/>
  <c r="I75" i="120"/>
  <c r="K20" i="114"/>
  <c r="K14" i="114"/>
  <c r="O68" i="61"/>
  <c r="O67" i="61"/>
  <c r="O66" i="61"/>
  <c r="O65" i="61"/>
  <c r="O64" i="61"/>
  <c r="N68" i="61"/>
  <c r="N67" i="61"/>
  <c r="N66" i="61"/>
  <c r="N65" i="61"/>
  <c r="N64" i="61"/>
  <c r="M68" i="61"/>
  <c r="M67" i="61"/>
  <c r="M66" i="61"/>
  <c r="M65" i="61"/>
  <c r="M64" i="61"/>
  <c r="L68" i="61"/>
  <c r="L67" i="61"/>
  <c r="L66" i="61"/>
  <c r="L65" i="61"/>
  <c r="L64" i="61"/>
  <c r="K68" i="61"/>
  <c r="K67" i="61"/>
  <c r="K66" i="61"/>
  <c r="K65" i="61"/>
  <c r="K64" i="61"/>
  <c r="J68" i="61"/>
  <c r="J67" i="61"/>
  <c r="J66" i="61"/>
  <c r="J65" i="61"/>
  <c r="J64" i="61"/>
  <c r="I68" i="61"/>
  <c r="I67" i="61"/>
  <c r="I66" i="61"/>
  <c r="I65" i="61"/>
  <c r="I64" i="61"/>
  <c r="K17" i="23" l="1"/>
  <c r="H68" i="61"/>
  <c r="H67" i="61"/>
  <c r="H66" i="61"/>
  <c r="H65" i="61"/>
  <c r="G64" i="61"/>
  <c r="F64" i="61"/>
  <c r="G68" i="61"/>
  <c r="G67" i="61"/>
  <c r="G66" i="61"/>
  <c r="G65" i="61"/>
  <c r="F68" i="61"/>
  <c r="F67" i="61"/>
  <c r="F66" i="61"/>
  <c r="F65" i="61"/>
  <c r="F19" i="120"/>
  <c r="J26" i="24"/>
  <c r="J12" i="24"/>
  <c r="J11" i="24"/>
  <c r="I63" i="22"/>
  <c r="I62" i="22"/>
  <c r="I58" i="22"/>
  <c r="I57" i="22"/>
  <c r="I56" i="22"/>
  <c r="I55" i="22"/>
  <c r="I53" i="22"/>
  <c r="I52" i="22"/>
  <c r="I51" i="22"/>
  <c r="I50" i="22"/>
  <c r="I49" i="22"/>
  <c r="I48" i="22"/>
  <c r="I47" i="22"/>
  <c r="I46" i="22"/>
  <c r="I43" i="22"/>
  <c r="I42" i="22"/>
  <c r="I41" i="22"/>
  <c r="I40" i="22"/>
  <c r="I39" i="22"/>
  <c r="I38" i="22"/>
  <c r="I37" i="22"/>
  <c r="I36" i="22"/>
  <c r="I35" i="22"/>
  <c r="I33" i="22"/>
  <c r="I30" i="22"/>
  <c r="I29" i="22"/>
  <c r="I28" i="22"/>
  <c r="I27" i="22"/>
  <c r="I26" i="22"/>
  <c r="I25" i="22"/>
  <c r="I24" i="22"/>
  <c r="I23" i="22"/>
  <c r="I21" i="22"/>
  <c r="I20" i="22"/>
  <c r="I19" i="22"/>
  <c r="I18" i="22"/>
  <c r="I17" i="22"/>
  <c r="I16" i="22"/>
  <c r="I15" i="22"/>
  <c r="I14" i="22"/>
  <c r="I13" i="22"/>
  <c r="I12" i="22"/>
  <c r="I11" i="22"/>
  <c r="H48" i="95" l="1"/>
  <c r="H47" i="95"/>
  <c r="H46" i="95"/>
  <c r="H45" i="95"/>
  <c r="H44" i="95"/>
  <c r="H42" i="95"/>
  <c r="H41" i="95"/>
  <c r="H40" i="95"/>
  <c r="H39" i="95"/>
  <c r="H38" i="95"/>
  <c r="H37" i="95"/>
  <c r="H36" i="95"/>
  <c r="H35" i="95"/>
  <c r="H34" i="95"/>
  <c r="H33" i="95"/>
  <c r="H32" i="95"/>
  <c r="H31" i="95"/>
  <c r="H30" i="95"/>
  <c r="H29" i="95"/>
  <c r="H28" i="95"/>
  <c r="H27" i="95"/>
  <c r="H26" i="95"/>
  <c r="H25" i="95"/>
  <c r="H24" i="95"/>
  <c r="H23" i="95"/>
  <c r="H22" i="95"/>
  <c r="H21" i="95"/>
  <c r="H20" i="95"/>
  <c r="H19" i="95"/>
  <c r="H18" i="95"/>
  <c r="H17" i="95"/>
  <c r="H16" i="95"/>
  <c r="H15" i="95"/>
  <c r="I15" i="95" s="1"/>
  <c r="G25" i="14"/>
  <c r="G24" i="14"/>
  <c r="F25" i="14"/>
  <c r="F24" i="14"/>
  <c r="F23" i="14"/>
  <c r="F20" i="14"/>
  <c r="G23" i="14"/>
  <c r="G22" i="14"/>
  <c r="F22" i="14"/>
  <c r="I23" i="89"/>
  <c r="I22" i="89"/>
  <c r="H23" i="89"/>
  <c r="H22" i="89"/>
  <c r="I21" i="89"/>
  <c r="I20" i="89"/>
  <c r="I18" i="89"/>
  <c r="I17" i="89"/>
  <c r="H21" i="89"/>
  <c r="H20" i="89"/>
  <c r="H18" i="89"/>
  <c r="I34" i="89"/>
  <c r="I33" i="89"/>
  <c r="I25" i="89"/>
  <c r="H34" i="89"/>
  <c r="H33" i="89"/>
  <c r="H29" i="89"/>
  <c r="H28" i="89"/>
  <c r="H26" i="89"/>
  <c r="H25" i="89"/>
  <c r="P34" i="89"/>
  <c r="P33" i="89"/>
  <c r="P31" i="89"/>
  <c r="P30" i="89"/>
  <c r="P29" i="89"/>
  <c r="P28" i="89"/>
  <c r="P27" i="89"/>
  <c r="P26" i="89"/>
  <c r="G34" i="89"/>
  <c r="G33" i="89"/>
  <c r="G31" i="89"/>
  <c r="G30" i="89"/>
  <c r="G29" i="89"/>
  <c r="G28" i="89"/>
  <c r="G27" i="89"/>
  <c r="G26" i="89"/>
  <c r="P25" i="89"/>
  <c r="G25" i="89"/>
  <c r="I37" i="89"/>
  <c r="H37" i="89"/>
  <c r="H36" i="89"/>
  <c r="N40" i="88"/>
  <c r="M48" i="89"/>
  <c r="M47" i="89"/>
  <c r="M46" i="89"/>
  <c r="M45" i="89"/>
  <c r="I48" i="89"/>
  <c r="I47" i="89"/>
  <c r="I46" i="89"/>
  <c r="I45" i="89"/>
  <c r="F48" i="89"/>
  <c r="F47" i="89"/>
  <c r="F46" i="89"/>
  <c r="F45" i="89"/>
  <c r="G42" i="88"/>
  <c r="G41" i="88"/>
  <c r="P62" i="121"/>
  <c r="P61" i="121"/>
  <c r="P60" i="121"/>
  <c r="P59" i="121"/>
  <c r="P58" i="121"/>
  <c r="P56" i="121"/>
  <c r="P55" i="121"/>
  <c r="P54" i="121"/>
  <c r="P53" i="121"/>
  <c r="P52" i="121"/>
  <c r="P51" i="121"/>
  <c r="P50" i="121"/>
  <c r="P49" i="121"/>
  <c r="P47" i="121"/>
  <c r="P46" i="121"/>
  <c r="P45" i="121"/>
  <c r="P44" i="121"/>
  <c r="P43" i="121"/>
  <c r="P42" i="121"/>
  <c r="P40" i="121"/>
  <c r="P39" i="121"/>
  <c r="P38" i="121"/>
  <c r="P37" i="121"/>
  <c r="P36" i="121"/>
  <c r="P35" i="121"/>
  <c r="P34" i="121"/>
  <c r="P33" i="121"/>
  <c r="P32" i="121"/>
  <c r="P31" i="121"/>
  <c r="P30" i="121"/>
  <c r="P29" i="121"/>
  <c r="P28" i="121"/>
  <c r="P27" i="121"/>
  <c r="P26" i="121"/>
  <c r="P25" i="121"/>
  <c r="P24" i="121"/>
  <c r="P23" i="121"/>
  <c r="P22" i="121"/>
  <c r="P21" i="121"/>
  <c r="P20" i="121"/>
  <c r="P19" i="121"/>
  <c r="P18" i="121"/>
  <c r="P17" i="121"/>
  <c r="O62" i="121"/>
  <c r="O61" i="121"/>
  <c r="O60" i="121"/>
  <c r="O59" i="121"/>
  <c r="O58" i="121"/>
  <c r="O56" i="121"/>
  <c r="O55" i="121"/>
  <c r="O54" i="121"/>
  <c r="O53" i="121"/>
  <c r="O52" i="121"/>
  <c r="O51" i="121"/>
  <c r="O50" i="121"/>
  <c r="O49" i="121"/>
  <c r="O47" i="121"/>
  <c r="O46" i="121"/>
  <c r="O45" i="121"/>
  <c r="O44" i="121"/>
  <c r="O43" i="121"/>
  <c r="O42" i="121"/>
  <c r="O40" i="121"/>
  <c r="O39" i="121"/>
  <c r="O38" i="121"/>
  <c r="O37" i="121"/>
  <c r="O36" i="121"/>
  <c r="O35" i="121"/>
  <c r="O34" i="121"/>
  <c r="O33" i="121"/>
  <c r="O32" i="121"/>
  <c r="O31" i="121"/>
  <c r="O30" i="121"/>
  <c r="O29" i="121"/>
  <c r="O28" i="121"/>
  <c r="O27" i="121"/>
  <c r="O26" i="121"/>
  <c r="O25" i="121"/>
  <c r="O24" i="121"/>
  <c r="O23" i="121"/>
  <c r="O22" i="121"/>
  <c r="O21" i="121"/>
  <c r="O20" i="121"/>
  <c r="O19" i="121"/>
  <c r="O18" i="121"/>
  <c r="O17" i="121"/>
  <c r="N62" i="121"/>
  <c r="N61" i="121"/>
  <c r="N60" i="121"/>
  <c r="N59" i="121"/>
  <c r="N58" i="121"/>
  <c r="N56" i="121"/>
  <c r="N55" i="121"/>
  <c r="N54" i="121"/>
  <c r="N53" i="121"/>
  <c r="N52" i="121"/>
  <c r="N51" i="121"/>
  <c r="N50" i="121"/>
  <c r="N49" i="121"/>
  <c r="N47" i="121"/>
  <c r="N46" i="121"/>
  <c r="N45" i="121"/>
  <c r="N44" i="121"/>
  <c r="N43" i="121"/>
  <c r="N42" i="121"/>
  <c r="N40" i="121"/>
  <c r="N39" i="121"/>
  <c r="N38" i="121"/>
  <c r="N37" i="121"/>
  <c r="N36" i="121"/>
  <c r="N34" i="121"/>
  <c r="N33" i="121"/>
  <c r="N32" i="121"/>
  <c r="N31" i="121"/>
  <c r="N30" i="121"/>
  <c r="N29" i="121"/>
  <c r="N28" i="121"/>
  <c r="N27" i="121"/>
  <c r="N25" i="121"/>
  <c r="N24" i="121"/>
  <c r="N23" i="121"/>
  <c r="N22" i="121"/>
  <c r="N21" i="121"/>
  <c r="N20" i="121"/>
  <c r="N19" i="121"/>
  <c r="N18" i="121"/>
  <c r="N17" i="121"/>
  <c r="M47" i="121"/>
  <c r="M46" i="121"/>
  <c r="M45" i="121"/>
  <c r="M44" i="121"/>
  <c r="M43" i="121"/>
  <c r="M42" i="121"/>
  <c r="M40" i="121"/>
  <c r="M39" i="121"/>
  <c r="M38" i="121"/>
  <c r="M37" i="121"/>
  <c r="M36" i="121"/>
  <c r="M35" i="121"/>
  <c r="M34" i="121"/>
  <c r="M33" i="121"/>
  <c r="M32" i="121"/>
  <c r="M31" i="121"/>
  <c r="M30" i="121"/>
  <c r="M29" i="121"/>
  <c r="M28" i="121"/>
  <c r="M27" i="121"/>
  <c r="M26" i="121"/>
  <c r="M25" i="121"/>
  <c r="M24" i="121"/>
  <c r="M23" i="121"/>
  <c r="M22" i="121"/>
  <c r="M21" i="121"/>
  <c r="M20" i="121"/>
  <c r="M19" i="121"/>
  <c r="M18" i="121"/>
  <c r="M17" i="121"/>
  <c r="L62" i="121"/>
  <c r="L61" i="121"/>
  <c r="L60" i="121"/>
  <c r="L59" i="121"/>
  <c r="L58" i="121"/>
  <c r="L56" i="121"/>
  <c r="L55" i="121"/>
  <c r="L54" i="121"/>
  <c r="L53" i="121"/>
  <c r="L52" i="121"/>
  <c r="L51" i="121"/>
  <c r="L50" i="121"/>
  <c r="L49" i="121"/>
  <c r="L47" i="121"/>
  <c r="L46" i="121"/>
  <c r="L45" i="121"/>
  <c r="L44" i="121"/>
  <c r="L43" i="121"/>
  <c r="L42" i="121"/>
  <c r="L40" i="121"/>
  <c r="L39" i="121"/>
  <c r="L38" i="121"/>
  <c r="L37" i="121"/>
  <c r="L36" i="121"/>
  <c r="L35" i="121"/>
  <c r="L34" i="121"/>
  <c r="L33" i="121"/>
  <c r="L32" i="121"/>
  <c r="L31" i="121"/>
  <c r="L30" i="121"/>
  <c r="L29" i="121"/>
  <c r="L28" i="121"/>
  <c r="L27" i="121"/>
  <c r="L26" i="121"/>
  <c r="L25" i="121"/>
  <c r="L24" i="121"/>
  <c r="L23" i="121"/>
  <c r="L22" i="121"/>
  <c r="L21" i="121"/>
  <c r="L20" i="121"/>
  <c r="L19" i="121"/>
  <c r="L18" i="121"/>
  <c r="L17" i="121"/>
  <c r="K62" i="121"/>
  <c r="K61" i="121"/>
  <c r="K60" i="121"/>
  <c r="K59" i="121"/>
  <c r="K58" i="121"/>
  <c r="K56" i="121"/>
  <c r="K55" i="121"/>
  <c r="K54" i="121"/>
  <c r="K53" i="121"/>
  <c r="K52" i="121"/>
  <c r="K51" i="121"/>
  <c r="K50" i="121"/>
  <c r="K49" i="121"/>
  <c r="K47" i="121"/>
  <c r="K46" i="121"/>
  <c r="K45" i="121"/>
  <c r="K44" i="121"/>
  <c r="K43" i="121"/>
  <c r="K42" i="121"/>
  <c r="K40" i="121"/>
  <c r="K39" i="121"/>
  <c r="K38" i="121"/>
  <c r="K37" i="121"/>
  <c r="K36" i="121"/>
  <c r="K35" i="121"/>
  <c r="K34" i="121"/>
  <c r="K33" i="121"/>
  <c r="K32" i="121"/>
  <c r="K31" i="121"/>
  <c r="K30" i="121"/>
  <c r="K29" i="121"/>
  <c r="K28" i="121"/>
  <c r="K27" i="121"/>
  <c r="K26" i="121"/>
  <c r="K25" i="121"/>
  <c r="K24" i="121"/>
  <c r="K23" i="121"/>
  <c r="K22" i="121"/>
  <c r="K21" i="121"/>
  <c r="K20" i="121"/>
  <c r="K19" i="121"/>
  <c r="K18" i="121"/>
  <c r="K17" i="121"/>
  <c r="J62" i="121"/>
  <c r="J61" i="121"/>
  <c r="J60" i="121"/>
  <c r="J59" i="121"/>
  <c r="J58" i="121"/>
  <c r="J47" i="121"/>
  <c r="J46" i="121"/>
  <c r="J45" i="121"/>
  <c r="J44" i="121"/>
  <c r="J43" i="121"/>
  <c r="J42" i="121"/>
  <c r="J40" i="121"/>
  <c r="J39" i="121"/>
  <c r="J38" i="121"/>
  <c r="J37" i="121"/>
  <c r="J36" i="121"/>
  <c r="J35" i="121"/>
  <c r="J34" i="121"/>
  <c r="J33" i="121"/>
  <c r="J32" i="121"/>
  <c r="J31" i="121"/>
  <c r="J30" i="121"/>
  <c r="J29" i="121"/>
  <c r="J28" i="121"/>
  <c r="J27" i="121"/>
  <c r="J26" i="121"/>
  <c r="J25" i="121"/>
  <c r="J24" i="121"/>
  <c r="J23" i="121"/>
  <c r="J22" i="121"/>
  <c r="J21" i="121"/>
  <c r="J20" i="121"/>
  <c r="J19" i="121"/>
  <c r="J18" i="121"/>
  <c r="J17" i="121"/>
  <c r="I62" i="121"/>
  <c r="I61" i="121"/>
  <c r="I60" i="121"/>
  <c r="I59" i="121"/>
  <c r="I58" i="121"/>
  <c r="I56" i="121"/>
  <c r="I55" i="121"/>
  <c r="I54" i="121"/>
  <c r="I53" i="121"/>
  <c r="I52" i="121"/>
  <c r="I51" i="121"/>
  <c r="I50" i="121"/>
  <c r="I49" i="121"/>
  <c r="I47" i="121"/>
  <c r="I46" i="121"/>
  <c r="I45" i="121"/>
  <c r="I44" i="121"/>
  <c r="I43" i="121"/>
  <c r="I42" i="121"/>
  <c r="I40" i="121"/>
  <c r="I39" i="121"/>
  <c r="I38" i="121"/>
  <c r="I37" i="121"/>
  <c r="I36" i="121"/>
  <c r="I35" i="121"/>
  <c r="I34" i="121"/>
  <c r="I33" i="121"/>
  <c r="I32" i="121"/>
  <c r="I31" i="121"/>
  <c r="I30" i="121"/>
  <c r="I29" i="121"/>
  <c r="I28" i="121"/>
  <c r="I27" i="121"/>
  <c r="I26" i="121"/>
  <c r="I25" i="121"/>
  <c r="I24" i="121"/>
  <c r="I23" i="121"/>
  <c r="I22" i="121"/>
  <c r="I21" i="121"/>
  <c r="I20" i="121"/>
  <c r="I19" i="121"/>
  <c r="I18" i="121"/>
  <c r="I17" i="121"/>
  <c r="E47" i="121"/>
  <c r="E46" i="121"/>
  <c r="E45" i="121"/>
  <c r="E44" i="121"/>
  <c r="E43" i="121"/>
  <c r="E42" i="121"/>
  <c r="E40" i="121"/>
  <c r="E39" i="121"/>
  <c r="E38" i="121"/>
  <c r="E37" i="121"/>
  <c r="E36" i="121"/>
  <c r="E35" i="121"/>
  <c r="E34" i="121"/>
  <c r="E33" i="121"/>
  <c r="E32" i="121"/>
  <c r="E31" i="121"/>
  <c r="E30" i="121"/>
  <c r="E29" i="121"/>
  <c r="E28" i="121"/>
  <c r="E27" i="121"/>
  <c r="E26" i="121"/>
  <c r="E25" i="121"/>
  <c r="E24" i="121"/>
  <c r="E23" i="121"/>
  <c r="E22" i="121"/>
  <c r="E21" i="121"/>
  <c r="E20" i="121"/>
  <c r="E19" i="121"/>
  <c r="E18" i="121"/>
  <c r="E17" i="121"/>
  <c r="Q29" i="120" l="1"/>
  <c r="Q28" i="120"/>
  <c r="Q27" i="120"/>
  <c r="Q26" i="120"/>
  <c r="Q25" i="120"/>
  <c r="Q24" i="120"/>
  <c r="N29" i="120"/>
  <c r="N28" i="120"/>
  <c r="N27" i="120"/>
  <c r="N26" i="120"/>
  <c r="N25" i="120"/>
  <c r="N24" i="120"/>
  <c r="M29" i="120"/>
  <c r="M28" i="120"/>
  <c r="M27" i="120"/>
  <c r="M26" i="120"/>
  <c r="M25" i="120"/>
  <c r="M24" i="120"/>
  <c r="K29" i="120"/>
  <c r="K28" i="120"/>
  <c r="K27" i="120"/>
  <c r="K26" i="120"/>
  <c r="K25" i="120"/>
  <c r="K24" i="120"/>
  <c r="J29" i="120"/>
  <c r="J28" i="120"/>
  <c r="J27" i="120"/>
  <c r="J26" i="120"/>
  <c r="J25" i="120"/>
  <c r="J24" i="120"/>
  <c r="S68" i="120" l="1"/>
  <c r="S67" i="120"/>
  <c r="Q68" i="120"/>
  <c r="Q67" i="120"/>
  <c r="Q64" i="120"/>
  <c r="Q63" i="120"/>
  <c r="Q62" i="120"/>
  <c r="Q61" i="120"/>
  <c r="Q60" i="120"/>
  <c r="Q58" i="120"/>
  <c r="Q57" i="120"/>
  <c r="Q56" i="120"/>
  <c r="Q55" i="120"/>
  <c r="Q54" i="120"/>
  <c r="Q53" i="120"/>
  <c r="Q52" i="120"/>
  <c r="Q49" i="120"/>
  <c r="Q48" i="120"/>
  <c r="Q47" i="120"/>
  <c r="Q46" i="120"/>
  <c r="Q45" i="120"/>
  <c r="Q43" i="120"/>
  <c r="Q42" i="120"/>
  <c r="Q41" i="120"/>
  <c r="Q40" i="120"/>
  <c r="Q39" i="120"/>
  <c r="Q38" i="120"/>
  <c r="Q37" i="120"/>
  <c r="Q36" i="120"/>
  <c r="Q35" i="120"/>
  <c r="Q34" i="120"/>
  <c r="Q33" i="120"/>
  <c r="Q32" i="120"/>
  <c r="Q31" i="120"/>
  <c r="Q30" i="120"/>
  <c r="Q22" i="120"/>
  <c r="Q21" i="120"/>
  <c r="Q20" i="120"/>
  <c r="Q19" i="120"/>
  <c r="Q18" i="120"/>
  <c r="Q17" i="120"/>
  <c r="Q16" i="120"/>
  <c r="P22" i="120"/>
  <c r="P21" i="120"/>
  <c r="P20" i="120"/>
  <c r="P19" i="120"/>
  <c r="P18" i="120"/>
  <c r="P17" i="120"/>
  <c r="P16" i="120"/>
  <c r="N68" i="120"/>
  <c r="N67" i="120"/>
  <c r="N64" i="120"/>
  <c r="N63" i="120"/>
  <c r="N62" i="120"/>
  <c r="N61" i="120"/>
  <c r="N60" i="120"/>
  <c r="N58" i="120"/>
  <c r="N57" i="120"/>
  <c r="N56" i="120"/>
  <c r="N55" i="120"/>
  <c r="N54" i="120"/>
  <c r="N53" i="120"/>
  <c r="N52" i="120"/>
  <c r="N49" i="120"/>
  <c r="N48" i="120"/>
  <c r="N47" i="120"/>
  <c r="N46" i="120"/>
  <c r="N45" i="120"/>
  <c r="N43" i="120"/>
  <c r="N42" i="120"/>
  <c r="N41" i="120"/>
  <c r="N40" i="120"/>
  <c r="N39" i="120"/>
  <c r="N38" i="120"/>
  <c r="N37" i="120"/>
  <c r="N36" i="120"/>
  <c r="N35" i="120"/>
  <c r="N34" i="120"/>
  <c r="N33" i="120"/>
  <c r="N32" i="120"/>
  <c r="N31" i="120"/>
  <c r="N30" i="120"/>
  <c r="N22" i="120"/>
  <c r="N21" i="120"/>
  <c r="N20" i="120"/>
  <c r="N19" i="120"/>
  <c r="N18" i="120"/>
  <c r="N17" i="120"/>
  <c r="N16" i="120"/>
  <c r="M68" i="120"/>
  <c r="M67" i="120"/>
  <c r="M64" i="120"/>
  <c r="M63" i="120"/>
  <c r="M62" i="120"/>
  <c r="M61" i="120"/>
  <c r="M60" i="120"/>
  <c r="M58" i="120"/>
  <c r="M57" i="120"/>
  <c r="M56" i="120"/>
  <c r="M55" i="120"/>
  <c r="M54" i="120"/>
  <c r="M53" i="120"/>
  <c r="M52" i="120"/>
  <c r="M49" i="120"/>
  <c r="M48" i="120"/>
  <c r="M47" i="120"/>
  <c r="M46" i="120"/>
  <c r="M45" i="120"/>
  <c r="M43" i="120"/>
  <c r="M42" i="120"/>
  <c r="M41" i="120"/>
  <c r="M40" i="120"/>
  <c r="M39" i="120"/>
  <c r="M38" i="120"/>
  <c r="M37" i="120"/>
  <c r="M36" i="120"/>
  <c r="M35" i="120"/>
  <c r="M34" i="120"/>
  <c r="M33" i="120"/>
  <c r="M32" i="120"/>
  <c r="M31" i="120"/>
  <c r="M30" i="120"/>
  <c r="M22" i="120"/>
  <c r="M21" i="120"/>
  <c r="M20" i="120"/>
  <c r="M19" i="120"/>
  <c r="M18" i="120"/>
  <c r="M17" i="120"/>
  <c r="M16" i="120"/>
  <c r="K68" i="120"/>
  <c r="K67" i="120"/>
  <c r="K64" i="120"/>
  <c r="K63" i="120"/>
  <c r="K62" i="120"/>
  <c r="K61" i="120"/>
  <c r="K60" i="120"/>
  <c r="K58" i="120"/>
  <c r="K57" i="120"/>
  <c r="K56" i="120"/>
  <c r="K55" i="120"/>
  <c r="K54" i="120"/>
  <c r="K53" i="120"/>
  <c r="K52" i="120"/>
  <c r="K49" i="120"/>
  <c r="K48" i="120"/>
  <c r="K47" i="120"/>
  <c r="K46" i="120"/>
  <c r="K45" i="120"/>
  <c r="K43" i="120"/>
  <c r="K42" i="120"/>
  <c r="K41" i="120"/>
  <c r="K40" i="120"/>
  <c r="K39" i="120"/>
  <c r="K38" i="120"/>
  <c r="K37" i="120"/>
  <c r="K36" i="120"/>
  <c r="K35" i="120"/>
  <c r="K34" i="120"/>
  <c r="K33" i="120"/>
  <c r="K32" i="120"/>
  <c r="K31" i="120"/>
  <c r="K30" i="120"/>
  <c r="K22" i="120"/>
  <c r="K21" i="120"/>
  <c r="K20" i="120"/>
  <c r="K19" i="120"/>
  <c r="K18" i="120"/>
  <c r="K17" i="120"/>
  <c r="K16" i="120"/>
  <c r="J68" i="120"/>
  <c r="J67" i="120"/>
  <c r="J64" i="120"/>
  <c r="J63" i="120"/>
  <c r="J62" i="120"/>
  <c r="J61" i="120"/>
  <c r="J60" i="120"/>
  <c r="J58" i="120"/>
  <c r="J57" i="120"/>
  <c r="J56" i="120"/>
  <c r="J55" i="120"/>
  <c r="J54" i="120"/>
  <c r="J53" i="120"/>
  <c r="J52" i="120"/>
  <c r="J49" i="120"/>
  <c r="J48" i="120"/>
  <c r="J47" i="120"/>
  <c r="J46" i="120"/>
  <c r="J45" i="120"/>
  <c r="J43" i="120"/>
  <c r="J42" i="120"/>
  <c r="J41" i="120"/>
  <c r="J40" i="120"/>
  <c r="J39" i="120"/>
  <c r="J38" i="120"/>
  <c r="J37" i="120"/>
  <c r="J36" i="120"/>
  <c r="J35" i="120"/>
  <c r="J34" i="120"/>
  <c r="J33" i="120"/>
  <c r="J32" i="120"/>
  <c r="J31" i="120"/>
  <c r="J30" i="120"/>
  <c r="J22" i="120" l="1"/>
  <c r="J21" i="120"/>
  <c r="J20" i="120"/>
  <c r="J19" i="120"/>
  <c r="J18" i="120"/>
  <c r="J17" i="120"/>
  <c r="J16" i="120"/>
  <c r="F68" i="120"/>
  <c r="F67" i="120"/>
  <c r="F64" i="120"/>
  <c r="F63" i="120"/>
  <c r="F62" i="120"/>
  <c r="F61" i="120"/>
  <c r="F60" i="120"/>
  <c r="F58" i="120"/>
  <c r="F57" i="120"/>
  <c r="F56" i="120"/>
  <c r="F55" i="120"/>
  <c r="F54" i="120"/>
  <c r="F53" i="120"/>
  <c r="F52" i="120"/>
  <c r="F49" i="120"/>
  <c r="F48" i="120"/>
  <c r="F47" i="120"/>
  <c r="F46" i="120"/>
  <c r="F45" i="120"/>
  <c r="F43" i="120"/>
  <c r="F42" i="120"/>
  <c r="F41" i="120"/>
  <c r="F40" i="120"/>
  <c r="F39" i="120"/>
  <c r="F38" i="120"/>
  <c r="F37" i="120"/>
  <c r="F36" i="120"/>
  <c r="F35" i="120"/>
  <c r="F34" i="120"/>
  <c r="F33" i="120"/>
  <c r="F32" i="120"/>
  <c r="F31" i="120"/>
  <c r="F30" i="120"/>
  <c r="F22" i="120"/>
  <c r="F21" i="120"/>
  <c r="F20" i="120"/>
  <c r="F18" i="120"/>
  <c r="F17" i="120"/>
  <c r="F16" i="120"/>
  <c r="U23" i="89" l="1"/>
  <c r="U22" i="89"/>
  <c r="U34" i="89"/>
  <c r="U31" i="89"/>
  <c r="U30" i="89"/>
  <c r="U29" i="89"/>
  <c r="U28" i="89"/>
  <c r="U27" i="89"/>
  <c r="U26" i="89"/>
  <c r="U25" i="89"/>
  <c r="V34" i="89"/>
  <c r="V31" i="89"/>
  <c r="V30" i="89"/>
  <c r="V29" i="89"/>
  <c r="V28" i="89"/>
  <c r="V26" i="89"/>
  <c r="Y34" i="89"/>
  <c r="Y32" i="89"/>
  <c r="Y31" i="89"/>
  <c r="X34" i="89"/>
  <c r="X32" i="89"/>
  <c r="X31" i="89"/>
  <c r="X30" i="89"/>
  <c r="W34" i="89"/>
  <c r="W32" i="89"/>
  <c r="W31" i="89"/>
  <c r="W30" i="89"/>
  <c r="W29" i="89"/>
  <c r="W28" i="89"/>
  <c r="W26" i="89"/>
  <c r="T34" i="89"/>
  <c r="T31" i="89"/>
  <c r="T30" i="89"/>
  <c r="T29" i="89"/>
  <c r="T28" i="89"/>
  <c r="T27" i="89"/>
  <c r="T26" i="89"/>
  <c r="S34" i="89"/>
  <c r="S30" i="89"/>
  <c r="S29" i="89"/>
  <c r="S28" i="89"/>
  <c r="S27" i="89"/>
  <c r="S26" i="89"/>
  <c r="R34" i="89"/>
  <c r="R29" i="89"/>
  <c r="R28" i="89"/>
  <c r="R26" i="89"/>
  <c r="Q34" i="89"/>
  <c r="Q29" i="89"/>
  <c r="Q28" i="89"/>
  <c r="Q26" i="89"/>
  <c r="V23" i="89"/>
  <c r="V22" i="89"/>
  <c r="S23" i="89"/>
  <c r="S22" i="89"/>
  <c r="V25" i="89"/>
  <c r="T25" i="89"/>
  <c r="S25" i="89"/>
  <c r="R25" i="89"/>
  <c r="Q25" i="89"/>
  <c r="P44" i="89" l="1"/>
  <c r="P43" i="89"/>
  <c r="P42" i="89"/>
  <c r="P41" i="89"/>
  <c r="N39" i="88" l="1"/>
  <c r="N37" i="88"/>
  <c r="N36" i="88"/>
  <c r="N35" i="88"/>
  <c r="N34" i="88"/>
  <c r="N32" i="88"/>
  <c r="N31" i="88"/>
  <c r="N30" i="88"/>
  <c r="N29" i="88"/>
  <c r="N28" i="88"/>
  <c r="N27" i="88"/>
  <c r="N25" i="88"/>
  <c r="N24" i="88"/>
  <c r="M40" i="88" l="1"/>
  <c r="M39" i="88"/>
  <c r="M36" i="88"/>
  <c r="M35" i="88"/>
  <c r="M34" i="88"/>
  <c r="M31" i="88"/>
  <c r="M32" i="88"/>
  <c r="M30" i="88"/>
  <c r="M29" i="88"/>
  <c r="M28" i="88"/>
  <c r="M27" i="88"/>
  <c r="M26" i="88"/>
  <c r="M25" i="88"/>
  <c r="M22" i="88"/>
  <c r="M21" i="88"/>
  <c r="M24" i="88"/>
  <c r="M20" i="88"/>
  <c r="M19" i="88"/>
  <c r="M18" i="88"/>
  <c r="M17" i="88"/>
  <c r="M16" i="88"/>
  <c r="L40" i="88"/>
  <c r="L39" i="88"/>
  <c r="L36" i="88"/>
  <c r="L35" i="88"/>
  <c r="L34" i="88"/>
  <c r="L20" i="88"/>
  <c r="L22" i="88"/>
  <c r="L21" i="88"/>
  <c r="L31" i="88"/>
  <c r="L32" i="88"/>
  <c r="L30" i="88"/>
  <c r="L29" i="88"/>
  <c r="L28" i="88"/>
  <c r="L27" i="88"/>
  <c r="L26" i="88"/>
  <c r="L25" i="88"/>
  <c r="L24" i="88"/>
  <c r="L19" i="88"/>
  <c r="L18" i="88"/>
  <c r="L17" i="88"/>
  <c r="L16" i="88"/>
  <c r="J40" i="88"/>
  <c r="J39" i="88"/>
  <c r="J35" i="88"/>
  <c r="J34" i="88"/>
  <c r="J31" i="88"/>
  <c r="J32" i="88"/>
  <c r="J30" i="88"/>
  <c r="J29" i="88"/>
  <c r="J28" i="88"/>
  <c r="J27" i="88"/>
  <c r="J22" i="88"/>
  <c r="J21" i="88"/>
  <c r="J26" i="88"/>
  <c r="F26" i="88"/>
  <c r="J25" i="88"/>
  <c r="J24" i="88"/>
  <c r="J20" i="88"/>
  <c r="J19" i="88"/>
  <c r="J18" i="88"/>
  <c r="J17" i="88"/>
  <c r="J16" i="88"/>
  <c r="I40" i="88"/>
  <c r="I39" i="88"/>
  <c r="I37" i="88"/>
  <c r="I36" i="88"/>
  <c r="I35" i="88"/>
  <c r="I34" i="88"/>
  <c r="I31" i="88"/>
  <c r="I32" i="88"/>
  <c r="I30" i="88"/>
  <c r="I29" i="88"/>
  <c r="I28" i="88"/>
  <c r="I27" i="88"/>
  <c r="I26" i="88"/>
  <c r="I25" i="88"/>
  <c r="I20" i="88"/>
  <c r="I22" i="88"/>
  <c r="I21" i="88"/>
  <c r="I24" i="88"/>
  <c r="I19" i="88"/>
  <c r="I18" i="88"/>
  <c r="I17" i="88"/>
  <c r="I16" i="88"/>
  <c r="G40" i="88"/>
  <c r="G39" i="88"/>
  <c r="H20" i="88"/>
  <c r="H40" i="88"/>
  <c r="H39" i="88"/>
  <c r="H37" i="88"/>
  <c r="H36" i="88"/>
  <c r="H35" i="88"/>
  <c r="H34" i="88"/>
  <c r="H22" i="88"/>
  <c r="H21" i="88"/>
  <c r="H31" i="88"/>
  <c r="H32" i="88"/>
  <c r="H30" i="88"/>
  <c r="H29" i="88"/>
  <c r="H28" i="88"/>
  <c r="H27" i="88"/>
  <c r="H26" i="88"/>
  <c r="H25" i="88"/>
  <c r="H24" i="88"/>
  <c r="H18" i="88"/>
  <c r="H17" i="88"/>
  <c r="H16" i="88"/>
  <c r="G36" i="88"/>
  <c r="G35" i="88"/>
  <c r="G34" i="88"/>
  <c r="G31" i="88"/>
  <c r="G32" i="88"/>
  <c r="G30" i="88"/>
  <c r="G29" i="88"/>
  <c r="G28" i="88"/>
  <c r="G27" i="88"/>
  <c r="G26" i="88"/>
  <c r="G20" i="88"/>
  <c r="G22" i="88"/>
  <c r="G21" i="88"/>
  <c r="G25" i="88"/>
  <c r="G24" i="88"/>
  <c r="G19" i="88"/>
  <c r="G18" i="88"/>
  <c r="G17" i="88"/>
  <c r="G16" i="88"/>
  <c r="F20" i="88"/>
  <c r="F22" i="88"/>
  <c r="F21" i="88"/>
  <c r="F40" i="88"/>
  <c r="F39" i="88"/>
  <c r="F37" i="88"/>
  <c r="F36" i="88"/>
  <c r="F35" i="88"/>
  <c r="F34" i="88"/>
  <c r="F31" i="88"/>
  <c r="F32" i="88"/>
  <c r="F30" i="88"/>
  <c r="F29" i="88"/>
  <c r="F28" i="88"/>
  <c r="F27" i="88"/>
  <c r="F25" i="88"/>
  <c r="F24" i="88"/>
  <c r="F19" i="88"/>
  <c r="F18" i="88"/>
  <c r="F17" i="88"/>
  <c r="F16" i="88"/>
  <c r="D31" i="58" l="1"/>
  <c r="D30" i="58"/>
  <c r="D29" i="58"/>
  <c r="D28" i="58"/>
  <c r="D27" i="58"/>
  <c r="D26" i="58"/>
  <c r="D24" i="58"/>
  <c r="D23" i="58"/>
  <c r="D22" i="58"/>
  <c r="D21" i="58"/>
  <c r="D20" i="58"/>
  <c r="D19" i="58"/>
  <c r="D18" i="58"/>
  <c r="D17" i="58"/>
  <c r="D16" i="58"/>
  <c r="D15" i="58"/>
  <c r="D13" i="58"/>
  <c r="E31" i="58"/>
  <c r="E30" i="58"/>
  <c r="E29" i="58"/>
  <c r="E27" i="58"/>
  <c r="E25" i="58"/>
  <c r="E23" i="58"/>
  <c r="E22" i="58"/>
  <c r="E21" i="58"/>
  <c r="E20" i="58"/>
  <c r="E19" i="58"/>
  <c r="E18" i="58"/>
  <c r="E17" i="58"/>
  <c r="E16" i="58"/>
  <c r="E14" i="58"/>
  <c r="F62" i="121" l="1"/>
  <c r="F61" i="121"/>
  <c r="F60" i="121"/>
  <c r="F59" i="121"/>
  <c r="F58" i="121"/>
  <c r="F56" i="121"/>
  <c r="F55" i="121"/>
  <c r="F54" i="121"/>
  <c r="F53" i="121"/>
  <c r="F52" i="121"/>
  <c r="F51" i="121"/>
  <c r="F50" i="121"/>
  <c r="F49" i="121"/>
  <c r="F47" i="121"/>
  <c r="F46" i="121"/>
  <c r="F45" i="121"/>
  <c r="F44" i="121"/>
  <c r="F43" i="121"/>
  <c r="F42" i="121"/>
  <c r="F40" i="121"/>
  <c r="F39" i="121"/>
  <c r="F38" i="121"/>
  <c r="F37" i="121"/>
  <c r="F36" i="121"/>
  <c r="F35" i="121"/>
  <c r="F34" i="121"/>
  <c r="F33" i="121"/>
  <c r="F32" i="121"/>
  <c r="F31" i="121"/>
  <c r="F30" i="121"/>
  <c r="F29" i="121"/>
  <c r="F28" i="121"/>
  <c r="F27" i="121"/>
  <c r="F26" i="121"/>
  <c r="F25" i="121"/>
  <c r="F24" i="121"/>
  <c r="F23" i="121"/>
  <c r="F22" i="121"/>
  <c r="F21" i="121"/>
  <c r="F20" i="121"/>
  <c r="F19" i="121"/>
  <c r="F18" i="121"/>
  <c r="F17" i="121"/>
  <c r="F48" i="85" l="1"/>
  <c r="F47" i="85"/>
  <c r="F46" i="85"/>
  <c r="F45" i="85"/>
  <c r="F37" i="85"/>
  <c r="F34" i="85"/>
  <c r="F32" i="85"/>
  <c r="F26" i="85"/>
  <c r="F23" i="85"/>
  <c r="F22" i="85"/>
  <c r="F21" i="85"/>
  <c r="F16" i="85"/>
  <c r="F13" i="85"/>
  <c r="F11" i="85"/>
  <c r="F9" i="85"/>
  <c r="I23" i="25" l="1"/>
  <c r="H26" i="113" l="1"/>
  <c r="G68" i="120" l="1"/>
  <c r="G67" i="120"/>
  <c r="G64" i="120"/>
  <c r="G63" i="120"/>
  <c r="G62" i="120"/>
  <c r="G61" i="120"/>
  <c r="G60" i="120"/>
  <c r="G58" i="120"/>
  <c r="G57" i="120"/>
  <c r="G56" i="120"/>
  <c r="G55" i="120"/>
  <c r="G54" i="120"/>
  <c r="G53" i="120"/>
  <c r="G52" i="120"/>
  <c r="G51" i="120"/>
  <c r="G49" i="120"/>
  <c r="G48" i="120"/>
  <c r="G47" i="120"/>
  <c r="G46" i="120"/>
  <c r="G45" i="120"/>
  <c r="G43" i="120"/>
  <c r="G42" i="120"/>
  <c r="G41" i="120"/>
  <c r="G40" i="120"/>
  <c r="G39" i="120"/>
  <c r="G38" i="120"/>
  <c r="G37" i="120"/>
  <c r="G36" i="120"/>
  <c r="G35" i="120"/>
  <c r="G34" i="120"/>
  <c r="G33" i="120"/>
  <c r="G32" i="120"/>
  <c r="G31" i="120"/>
  <c r="G30" i="120"/>
  <c r="G22" i="120"/>
  <c r="G21" i="120"/>
  <c r="G20" i="120"/>
  <c r="G19" i="120"/>
  <c r="G18" i="120"/>
  <c r="G17" i="120"/>
  <c r="G16" i="120"/>
  <c r="T52" i="122" l="1"/>
  <c r="T51" i="122"/>
  <c r="T50" i="122"/>
  <c r="T49" i="122"/>
  <c r="T48" i="122"/>
  <c r="T47" i="122"/>
  <c r="T46" i="122"/>
  <c r="S52" i="122"/>
  <c r="S51" i="122"/>
  <c r="S50" i="122"/>
  <c r="S49" i="122"/>
  <c r="S48" i="122"/>
  <c r="S47" i="122"/>
  <c r="S46" i="122"/>
  <c r="R52" i="122"/>
  <c r="R51" i="122"/>
  <c r="R50" i="122"/>
  <c r="R49" i="122"/>
  <c r="R48" i="122"/>
  <c r="R47" i="122"/>
  <c r="R46" i="122"/>
  <c r="M54" i="122"/>
  <c r="M53" i="122"/>
  <c r="Q52" i="122"/>
  <c r="Q51" i="122"/>
  <c r="Q50" i="122"/>
  <c r="Q49" i="122"/>
  <c r="Q48" i="122"/>
  <c r="Q47" i="122"/>
  <c r="Q46" i="122"/>
  <c r="P52" i="122"/>
  <c r="P51" i="122"/>
  <c r="P50" i="122"/>
  <c r="P49" i="122"/>
  <c r="P48" i="122"/>
  <c r="P47" i="122"/>
  <c r="P46" i="122"/>
  <c r="O52" i="122"/>
  <c r="O51" i="122"/>
  <c r="O50" i="122"/>
  <c r="O49" i="122"/>
  <c r="O48" i="122"/>
  <c r="O46" i="122"/>
  <c r="N52" i="122"/>
  <c r="N51" i="122"/>
  <c r="N50" i="122"/>
  <c r="N49" i="122"/>
  <c r="N48" i="122"/>
  <c r="N47" i="122"/>
  <c r="N46" i="122"/>
  <c r="M52" i="122"/>
  <c r="M51" i="122"/>
  <c r="M50" i="122"/>
  <c r="M49" i="122"/>
  <c r="M48" i="122"/>
  <c r="M47" i="122"/>
  <c r="M46" i="122"/>
  <c r="J52" i="122"/>
  <c r="J51" i="122"/>
  <c r="J50" i="122"/>
  <c r="J49" i="122"/>
  <c r="J48" i="122"/>
  <c r="J47" i="122"/>
  <c r="J46" i="122"/>
  <c r="H52" i="122"/>
  <c r="H51" i="122"/>
  <c r="H50" i="122"/>
  <c r="H49" i="122"/>
  <c r="H48" i="122"/>
  <c r="H47" i="122"/>
  <c r="H46" i="122"/>
  <c r="F52" i="122"/>
  <c r="F51" i="122"/>
  <c r="F50" i="122"/>
  <c r="F49" i="122"/>
  <c r="F48" i="122"/>
  <c r="F47" i="122"/>
  <c r="F46" i="122"/>
  <c r="E52" i="122"/>
  <c r="E51" i="122"/>
  <c r="E50" i="122"/>
  <c r="E49" i="122"/>
  <c r="E48" i="122"/>
  <c r="E47" i="122"/>
  <c r="E46" i="122"/>
  <c r="B52" i="122"/>
  <c r="B51" i="122"/>
  <c r="B50" i="122"/>
  <c r="B49" i="122"/>
  <c r="B48" i="122"/>
  <c r="B47" i="122"/>
  <c r="B46" i="122"/>
  <c r="B44" i="122"/>
  <c r="B43" i="122"/>
  <c r="B42" i="122"/>
  <c r="B41" i="122"/>
  <c r="B39" i="122"/>
  <c r="B38" i="122"/>
  <c r="B37" i="122"/>
  <c r="B36" i="122"/>
  <c r="P34" i="122"/>
  <c r="P33" i="122"/>
  <c r="M34" i="122"/>
  <c r="M33" i="122"/>
  <c r="H34" i="122"/>
  <c r="H33" i="122"/>
  <c r="F34" i="122"/>
  <c r="F33" i="122"/>
  <c r="F31" i="122"/>
  <c r="F30" i="122"/>
  <c r="T31" i="122"/>
  <c r="T30" i="122"/>
  <c r="P29" i="122"/>
  <c r="M29" i="122"/>
  <c r="H29" i="122"/>
  <c r="F29" i="122"/>
  <c r="T27" i="122"/>
  <c r="T26" i="122"/>
  <c r="S27" i="122"/>
  <c r="S26" i="122"/>
  <c r="R27" i="122"/>
  <c r="R26" i="122"/>
  <c r="Q27" i="122"/>
  <c r="Q26" i="122"/>
  <c r="P27" i="122"/>
  <c r="P26" i="122"/>
  <c r="O27" i="122"/>
  <c r="O26" i="122"/>
  <c r="N27" i="122"/>
  <c r="N26" i="122"/>
  <c r="M27" i="122"/>
  <c r="M26" i="122"/>
  <c r="J27" i="122"/>
  <c r="J26" i="122"/>
  <c r="H27" i="122"/>
  <c r="H26" i="122"/>
  <c r="F27" i="122"/>
  <c r="F26" i="122"/>
  <c r="E27" i="122"/>
  <c r="E26" i="122"/>
  <c r="B27" i="122"/>
  <c r="B26" i="122"/>
  <c r="S21" i="122"/>
  <c r="T21" i="122"/>
  <c r="T20" i="122"/>
  <c r="T19" i="122"/>
  <c r="T18" i="122"/>
  <c r="T17" i="122"/>
  <c r="S24" i="122"/>
  <c r="S23" i="122"/>
  <c r="S22" i="122"/>
  <c r="S20" i="122"/>
  <c r="S19" i="122"/>
  <c r="S18" i="122"/>
  <c r="S17" i="122"/>
  <c r="R24" i="122"/>
  <c r="R23" i="122"/>
  <c r="R22" i="122"/>
  <c r="R21" i="122"/>
  <c r="R20" i="122"/>
  <c r="R19" i="122"/>
  <c r="R18" i="122"/>
  <c r="R17" i="122"/>
  <c r="Q24" i="122"/>
  <c r="Q23" i="122"/>
  <c r="Q22" i="122"/>
  <c r="Q21" i="122"/>
  <c r="Q20" i="122"/>
  <c r="Q19" i="122"/>
  <c r="Q18" i="122"/>
  <c r="Q17" i="122"/>
  <c r="P24" i="122"/>
  <c r="P23" i="122"/>
  <c r="P22" i="122"/>
  <c r="P21" i="122"/>
  <c r="P20" i="122"/>
  <c r="P19" i="122"/>
  <c r="P18" i="122"/>
  <c r="P17" i="122"/>
  <c r="O21" i="122"/>
  <c r="O20" i="122"/>
  <c r="O19" i="122"/>
  <c r="O18" i="122"/>
  <c r="O17" i="122"/>
  <c r="N23" i="122"/>
  <c r="N22" i="122"/>
  <c r="N21" i="122"/>
  <c r="N20" i="122"/>
  <c r="N19" i="122"/>
  <c r="N18" i="122"/>
  <c r="N17" i="122"/>
  <c r="N24" i="122"/>
  <c r="M24" i="122"/>
  <c r="M23" i="122"/>
  <c r="M22" i="122"/>
  <c r="M21" i="122"/>
  <c r="M20" i="122"/>
  <c r="M19" i="122"/>
  <c r="M18" i="122"/>
  <c r="M17" i="122"/>
  <c r="J23" i="122"/>
  <c r="J22" i="122"/>
  <c r="J21" i="122"/>
  <c r="J20" i="122"/>
  <c r="J19" i="122"/>
  <c r="J18" i="122"/>
  <c r="J17" i="122"/>
  <c r="H23" i="122"/>
  <c r="H22" i="122"/>
  <c r="H21" i="122"/>
  <c r="H20" i="122"/>
  <c r="H19" i="122"/>
  <c r="H18" i="122"/>
  <c r="H17" i="122"/>
  <c r="F23" i="122"/>
  <c r="F22" i="122"/>
  <c r="F21" i="122"/>
  <c r="F20" i="122"/>
  <c r="F19" i="122"/>
  <c r="F18" i="122"/>
  <c r="F17" i="122"/>
  <c r="E23" i="122"/>
  <c r="E22" i="122"/>
  <c r="E21" i="122"/>
  <c r="E20" i="122"/>
  <c r="E19" i="122"/>
  <c r="E18" i="122"/>
  <c r="E17" i="122"/>
  <c r="B18" i="122"/>
  <c r="B23" i="122"/>
  <c r="B22" i="122"/>
  <c r="B21" i="122"/>
  <c r="B20" i="122"/>
  <c r="B19" i="122"/>
  <c r="B17" i="122"/>
  <c r="T67" i="122"/>
  <c r="Q67" i="122"/>
  <c r="N67" i="122"/>
  <c r="J67" i="122"/>
  <c r="F67" i="122"/>
  <c r="B67" i="122"/>
  <c r="T66" i="122"/>
  <c r="S66" i="122"/>
  <c r="R66" i="122"/>
  <c r="P66" i="122"/>
  <c r="M66" i="122"/>
  <c r="H66" i="122"/>
  <c r="E66" i="122"/>
  <c r="P64" i="122"/>
  <c r="L64" i="122"/>
  <c r="F64" i="122"/>
  <c r="D64" i="122"/>
  <c r="S62" i="122"/>
  <c r="N62" i="122"/>
  <c r="L62" i="122"/>
  <c r="D62" i="122"/>
  <c r="L61" i="122"/>
  <c r="D61" i="122"/>
  <c r="T60" i="122"/>
  <c r="R60" i="122"/>
  <c r="P60" i="122"/>
  <c r="M60" i="122"/>
  <c r="L60" i="122"/>
  <c r="J60" i="122"/>
  <c r="H60" i="122"/>
  <c r="F60" i="122"/>
  <c r="E60" i="122"/>
  <c r="D60" i="122"/>
  <c r="B60" i="122"/>
  <c r="T59" i="122"/>
  <c r="R59" i="122"/>
  <c r="P59" i="122"/>
  <c r="M59" i="122"/>
  <c r="L59" i="122"/>
  <c r="J59" i="122"/>
  <c r="H59" i="122"/>
  <c r="F59" i="122"/>
  <c r="E59" i="122"/>
  <c r="D59" i="122"/>
  <c r="B59" i="122"/>
  <c r="T58" i="122"/>
  <c r="P58" i="122"/>
  <c r="M58" i="122"/>
  <c r="L58" i="122"/>
  <c r="J58" i="122"/>
  <c r="F58" i="122"/>
  <c r="E58" i="122"/>
  <c r="D58" i="122"/>
  <c r="B58" i="122"/>
  <c r="T57" i="122"/>
  <c r="P57" i="122"/>
  <c r="M57" i="122"/>
  <c r="L57" i="122"/>
  <c r="J57" i="122"/>
  <c r="F57" i="122"/>
  <c r="E57" i="122"/>
  <c r="D57" i="122"/>
  <c r="B57" i="122"/>
  <c r="Q75" i="120" l="1"/>
  <c r="P75" i="120"/>
  <c r="N75" i="120"/>
  <c r="M75" i="120"/>
  <c r="L75" i="120"/>
  <c r="K75" i="120"/>
  <c r="K17" i="114"/>
  <c r="K23" i="114"/>
  <c r="K22" i="114"/>
  <c r="K21" i="114"/>
  <c r="K19" i="114"/>
  <c r="K18" i="114"/>
  <c r="K15" i="114"/>
  <c r="H31" i="113" l="1"/>
  <c r="I27" i="113"/>
  <c r="I26" i="113"/>
  <c r="I22" i="113"/>
  <c r="F29" i="14" l="1"/>
  <c r="F28" i="14"/>
  <c r="F27" i="14"/>
  <c r="F26" i="14"/>
  <c r="F17" i="14"/>
  <c r="D81" i="121" l="1"/>
  <c r="D82" i="121"/>
  <c r="D80" i="121"/>
  <c r="D79" i="121"/>
  <c r="D72" i="121"/>
  <c r="D71" i="121"/>
  <c r="D70" i="121"/>
  <c r="D69" i="121"/>
  <c r="D68" i="121"/>
  <c r="R29" i="120"/>
  <c r="G29" i="120"/>
  <c r="R28" i="120"/>
  <c r="G28" i="120"/>
  <c r="R27" i="120"/>
  <c r="G27" i="120"/>
  <c r="R26" i="120"/>
  <c r="G26" i="120"/>
  <c r="R25" i="120"/>
  <c r="G25" i="120"/>
  <c r="R24" i="120"/>
  <c r="G24" i="120"/>
  <c r="Q23" i="120"/>
  <c r="H23" i="120"/>
  <c r="N23" i="120"/>
  <c r="M23" i="120"/>
  <c r="K23" i="120"/>
  <c r="P23" i="120" s="1"/>
  <c r="J23" i="120"/>
  <c r="G23" i="120"/>
  <c r="B27" i="116" l="1"/>
  <c r="N6" i="61" l="1"/>
  <c r="F15" i="85" l="1"/>
  <c r="F10" i="85"/>
  <c r="F19" i="85"/>
  <c r="N26" i="61" l="1"/>
  <c r="N24" i="61"/>
  <c r="N22" i="61"/>
  <c r="N20" i="61"/>
  <c r="N19" i="61"/>
  <c r="N18" i="61"/>
  <c r="N17" i="61"/>
  <c r="N15" i="61"/>
  <c r="N14" i="61"/>
  <c r="N13" i="61"/>
  <c r="N12" i="61"/>
  <c r="N10" i="61"/>
  <c r="N8" i="61"/>
  <c r="N43" i="61"/>
  <c r="N42" i="61"/>
  <c r="N41" i="61"/>
  <c r="N40" i="61"/>
  <c r="F29" i="26"/>
  <c r="Q41" i="115" l="1"/>
  <c r="F42" i="85" l="1"/>
  <c r="F41" i="85"/>
  <c r="F38" i="85"/>
  <c r="F8" i="85"/>
  <c r="N45" i="61" l="1"/>
  <c r="O39" i="61"/>
  <c r="O47" i="61"/>
  <c r="O46" i="61"/>
  <c r="Q32" i="113" l="1"/>
  <c r="Q30" i="113"/>
  <c r="Q18" i="113"/>
  <c r="O28" i="113" l="1"/>
  <c r="O19" i="113"/>
  <c r="Q34" i="113"/>
  <c r="O34" i="113"/>
  <c r="O32" i="113"/>
  <c r="O30" i="113"/>
  <c r="Q27" i="113"/>
  <c r="P27" i="113"/>
  <c r="O27" i="113"/>
  <c r="Q25" i="113"/>
  <c r="P25" i="113"/>
  <c r="O25" i="113"/>
  <c r="O23" i="113"/>
  <c r="Q22" i="113"/>
  <c r="Q21" i="113"/>
  <c r="P22" i="113"/>
  <c r="O22" i="113"/>
  <c r="O21" i="113"/>
  <c r="O18" i="113"/>
  <c r="Q16" i="113"/>
  <c r="P16" i="113"/>
  <c r="O16" i="113"/>
  <c r="Q15" i="113"/>
  <c r="P15" i="113"/>
  <c r="O15" i="113"/>
  <c r="H40" i="113"/>
  <c r="H39" i="113"/>
  <c r="I39" i="113" s="1"/>
  <c r="H38" i="113"/>
  <c r="H37" i="113"/>
  <c r="H36" i="113"/>
  <c r="I36" i="113" s="1"/>
  <c r="H35" i="113"/>
  <c r="I35" i="113" s="1"/>
  <c r="H27" i="113"/>
  <c r="H22" i="113"/>
  <c r="H20" i="113"/>
  <c r="H16" i="113"/>
  <c r="B72" i="115"/>
  <c r="B68" i="116"/>
  <c r="B67" i="116"/>
  <c r="B18" i="115"/>
  <c r="C18" i="115"/>
  <c r="D18" i="115"/>
  <c r="E18" i="115"/>
  <c r="F18" i="115"/>
  <c r="G18" i="115"/>
  <c r="H18" i="115"/>
  <c r="I18" i="115"/>
  <c r="K18" i="115"/>
  <c r="M18" i="115"/>
  <c r="O18" i="115"/>
  <c r="Q18" i="115"/>
  <c r="Q28" i="115"/>
  <c r="O28" i="115"/>
  <c r="M28" i="115"/>
  <c r="K28" i="115"/>
  <c r="I28" i="115"/>
  <c r="H28" i="115"/>
  <c r="G28" i="115"/>
  <c r="F28" i="115"/>
  <c r="E28" i="115"/>
  <c r="D28" i="115"/>
  <c r="C28" i="115"/>
  <c r="B28" i="115"/>
  <c r="K27" i="115"/>
  <c r="K26" i="115"/>
  <c r="I27" i="115"/>
  <c r="I26" i="115"/>
  <c r="H27" i="115"/>
  <c r="H26" i="115"/>
  <c r="G27" i="115"/>
  <c r="G26" i="115"/>
  <c r="F27" i="115"/>
  <c r="F26" i="115"/>
  <c r="E27" i="115"/>
  <c r="E26" i="115"/>
  <c r="D27" i="115"/>
  <c r="D26" i="115"/>
  <c r="C27" i="115"/>
  <c r="C26" i="115"/>
  <c r="H19" i="115"/>
  <c r="M27" i="115"/>
  <c r="M26" i="115"/>
  <c r="O27" i="115"/>
  <c r="O26" i="115"/>
  <c r="Q27" i="115"/>
  <c r="Q26" i="115"/>
  <c r="Q19" i="115"/>
  <c r="O19" i="115"/>
  <c r="M19" i="115"/>
  <c r="K19" i="115"/>
  <c r="I19" i="115"/>
  <c r="B27" i="115"/>
  <c r="B26" i="115"/>
  <c r="G19" i="115"/>
  <c r="F19" i="115"/>
  <c r="E19" i="115"/>
  <c r="D19" i="115"/>
  <c r="C19" i="115"/>
  <c r="B19" i="115"/>
  <c r="G23" i="115"/>
  <c r="M22" i="115"/>
  <c r="H22" i="115"/>
  <c r="G22" i="115"/>
  <c r="F22" i="115"/>
  <c r="E22" i="115"/>
  <c r="M21" i="115"/>
  <c r="I21" i="115"/>
  <c r="H21" i="115"/>
  <c r="G21" i="115"/>
  <c r="F21" i="115"/>
  <c r="E21" i="115"/>
  <c r="B72" i="116"/>
  <c r="B71" i="116"/>
  <c r="B70" i="116"/>
  <c r="B69" i="116"/>
  <c r="Q53" i="116"/>
  <c r="P53" i="116"/>
  <c r="I53" i="116"/>
  <c r="H53" i="116"/>
  <c r="G53" i="116"/>
  <c r="F53" i="116"/>
  <c r="E53" i="116"/>
  <c r="Q52" i="116"/>
  <c r="P52" i="116"/>
  <c r="I52" i="116"/>
  <c r="H52" i="116"/>
  <c r="G52" i="116"/>
  <c r="F52" i="116"/>
  <c r="E52" i="116"/>
  <c r="O51" i="116"/>
  <c r="N51" i="116"/>
  <c r="L51" i="116"/>
  <c r="J51" i="116"/>
  <c r="D51" i="116"/>
  <c r="B51" i="116"/>
  <c r="R50" i="116"/>
  <c r="M50" i="116"/>
  <c r="R49" i="116"/>
  <c r="M49" i="116"/>
  <c r="R48" i="116"/>
  <c r="M48" i="116"/>
  <c r="K47" i="116"/>
  <c r="C47" i="116"/>
  <c r="E44" i="116"/>
  <c r="R43" i="116"/>
  <c r="H43" i="116"/>
  <c r="Q41" i="116"/>
  <c r="O41" i="116"/>
  <c r="M41" i="116"/>
  <c r="K41" i="116"/>
  <c r="I41" i="116"/>
  <c r="H41" i="116"/>
  <c r="G41" i="116"/>
  <c r="F41" i="116"/>
  <c r="E41" i="116"/>
  <c r="D41" i="116"/>
  <c r="C41" i="116"/>
  <c r="B41" i="116"/>
  <c r="Q40" i="116"/>
  <c r="O40" i="116"/>
  <c r="M40" i="116"/>
  <c r="K40" i="116"/>
  <c r="I40" i="116"/>
  <c r="H40" i="116"/>
  <c r="G40" i="116"/>
  <c r="F40" i="116"/>
  <c r="E40" i="116"/>
  <c r="D40" i="116"/>
  <c r="C40" i="116"/>
  <c r="B40" i="116"/>
  <c r="B39" i="116"/>
  <c r="Q37" i="116"/>
  <c r="O37" i="116"/>
  <c r="M37" i="116"/>
  <c r="I37" i="116"/>
  <c r="H37" i="116"/>
  <c r="G37" i="116"/>
  <c r="F37" i="116"/>
  <c r="D37" i="116"/>
  <c r="B37" i="116"/>
  <c r="Q36" i="116"/>
  <c r="O36" i="116"/>
  <c r="M36" i="116"/>
  <c r="I36" i="116"/>
  <c r="H36" i="116"/>
  <c r="G36" i="116"/>
  <c r="F36" i="116"/>
  <c r="D36" i="116"/>
  <c r="B36" i="116"/>
  <c r="Q34" i="116"/>
  <c r="O34" i="116"/>
  <c r="M34" i="116"/>
  <c r="K34" i="116"/>
  <c r="I34" i="116"/>
  <c r="H34" i="116"/>
  <c r="G34" i="116"/>
  <c r="F34" i="116"/>
  <c r="E34" i="116"/>
  <c r="D34" i="116"/>
  <c r="C34" i="116"/>
  <c r="B34" i="116"/>
  <c r="Q33" i="116"/>
  <c r="O33" i="116"/>
  <c r="M33" i="116"/>
  <c r="K33" i="116"/>
  <c r="I33" i="116"/>
  <c r="H33" i="116"/>
  <c r="G33" i="116"/>
  <c r="F33" i="116"/>
  <c r="E33" i="116"/>
  <c r="D33" i="116"/>
  <c r="C33" i="116"/>
  <c r="B33" i="116"/>
  <c r="B30" i="116"/>
  <c r="B29" i="116"/>
  <c r="B28" i="116"/>
  <c r="B26" i="116"/>
  <c r="Q24" i="116"/>
  <c r="O24" i="116"/>
  <c r="M24" i="116"/>
  <c r="K24" i="116"/>
  <c r="I24" i="116"/>
  <c r="H24" i="116"/>
  <c r="G24" i="116"/>
  <c r="F24" i="116"/>
  <c r="E24" i="116"/>
  <c r="D24" i="116"/>
  <c r="C24" i="116"/>
  <c r="B24" i="116"/>
  <c r="Q23" i="116"/>
  <c r="O23" i="116"/>
  <c r="M23" i="116"/>
  <c r="K23" i="116"/>
  <c r="I23" i="116"/>
  <c r="H23" i="116"/>
  <c r="G23" i="116"/>
  <c r="F23" i="116"/>
  <c r="E23" i="116"/>
  <c r="D23" i="116"/>
  <c r="C23" i="116"/>
  <c r="B23" i="116"/>
  <c r="Q22" i="116"/>
  <c r="O22" i="116"/>
  <c r="M22" i="116"/>
  <c r="K22" i="116"/>
  <c r="I22" i="116"/>
  <c r="H22" i="116"/>
  <c r="G22" i="116"/>
  <c r="F22" i="116"/>
  <c r="E22" i="116"/>
  <c r="C22" i="116"/>
  <c r="Q21" i="116"/>
  <c r="O21" i="116"/>
  <c r="M21" i="116"/>
  <c r="K21" i="116"/>
  <c r="I21" i="116"/>
  <c r="H21" i="116"/>
  <c r="G21" i="116"/>
  <c r="F21" i="116"/>
  <c r="E21" i="116"/>
  <c r="C21" i="116"/>
  <c r="Q20" i="116"/>
  <c r="O20" i="116"/>
  <c r="M20" i="116"/>
  <c r="K20" i="116"/>
  <c r="I20" i="116"/>
  <c r="H20" i="116"/>
  <c r="G20" i="116"/>
  <c r="F20" i="116"/>
  <c r="E20" i="116"/>
  <c r="D20" i="116"/>
  <c r="C20" i="116"/>
  <c r="B20" i="116"/>
  <c r="Q19" i="116"/>
  <c r="O19" i="116"/>
  <c r="M19" i="116"/>
  <c r="K19" i="116"/>
  <c r="I19" i="116"/>
  <c r="H19" i="116"/>
  <c r="G19" i="116"/>
  <c r="F19" i="116"/>
  <c r="E19" i="116"/>
  <c r="D19" i="116"/>
  <c r="C19" i="116"/>
  <c r="B19" i="116"/>
  <c r="Q18" i="116"/>
  <c r="O18" i="116"/>
  <c r="M18" i="116"/>
  <c r="K18" i="116"/>
  <c r="I18" i="116"/>
  <c r="H18" i="116"/>
  <c r="G18" i="116"/>
  <c r="F18" i="116"/>
  <c r="E18" i="116"/>
  <c r="D18" i="116"/>
  <c r="C18" i="116"/>
  <c r="B18" i="116"/>
  <c r="Q17" i="116"/>
  <c r="O17" i="116"/>
  <c r="M17" i="116"/>
  <c r="K17" i="116"/>
  <c r="I17" i="116"/>
  <c r="H17" i="116"/>
  <c r="G17" i="116"/>
  <c r="F17" i="116"/>
  <c r="E17" i="116"/>
  <c r="D17" i="116"/>
  <c r="C17" i="116"/>
  <c r="B17" i="116"/>
  <c r="O76" i="115"/>
  <c r="H76" i="115"/>
  <c r="C76" i="115"/>
  <c r="B76" i="115"/>
  <c r="F75" i="115"/>
  <c r="E75" i="115"/>
  <c r="D75" i="115"/>
  <c r="F74" i="115"/>
  <c r="C74" i="115"/>
  <c r="B74" i="115"/>
  <c r="O73" i="115"/>
  <c r="K73" i="115"/>
  <c r="C73" i="115"/>
  <c r="B73" i="115"/>
  <c r="O72" i="115"/>
  <c r="F72" i="115"/>
  <c r="C72" i="115"/>
  <c r="Q64" i="115"/>
  <c r="M64" i="115"/>
  <c r="I64" i="115"/>
  <c r="H64" i="115"/>
  <c r="G64" i="115"/>
  <c r="F64" i="115"/>
  <c r="E64" i="115"/>
  <c r="B64" i="115"/>
  <c r="Q63" i="115"/>
  <c r="M63" i="115"/>
  <c r="I63" i="115"/>
  <c r="H63" i="115"/>
  <c r="G63" i="115"/>
  <c r="F63" i="115"/>
  <c r="E63" i="115"/>
  <c r="B63" i="115"/>
  <c r="I62" i="115"/>
  <c r="H62" i="115"/>
  <c r="G62" i="115"/>
  <c r="I61" i="115"/>
  <c r="H61" i="115"/>
  <c r="G61" i="115"/>
  <c r="Q60" i="115"/>
  <c r="M60" i="115"/>
  <c r="I60" i="115"/>
  <c r="H60" i="115"/>
  <c r="G60" i="115"/>
  <c r="F60" i="115"/>
  <c r="E60" i="115"/>
  <c r="B60" i="115"/>
  <c r="Q59" i="115"/>
  <c r="M59" i="115"/>
  <c r="I59" i="115"/>
  <c r="H59" i="115"/>
  <c r="G59" i="115"/>
  <c r="F59" i="115"/>
  <c r="E59" i="115"/>
  <c r="B59" i="115"/>
  <c r="Q57" i="115"/>
  <c r="O57" i="115"/>
  <c r="M57" i="115"/>
  <c r="K57" i="115"/>
  <c r="I57" i="115"/>
  <c r="H57" i="115"/>
  <c r="G57" i="115"/>
  <c r="F57" i="115"/>
  <c r="E57" i="115"/>
  <c r="D57" i="115"/>
  <c r="C57" i="115"/>
  <c r="B57" i="115"/>
  <c r="Q56" i="115"/>
  <c r="O56" i="115"/>
  <c r="M56" i="115"/>
  <c r="K56" i="115"/>
  <c r="I56" i="115"/>
  <c r="H56" i="115"/>
  <c r="G56" i="115"/>
  <c r="F56" i="115"/>
  <c r="E56" i="115"/>
  <c r="D56" i="115"/>
  <c r="C56" i="115"/>
  <c r="B56" i="115"/>
  <c r="B54" i="115"/>
  <c r="B53" i="115"/>
  <c r="B52" i="115"/>
  <c r="Q50" i="115"/>
  <c r="O50" i="115"/>
  <c r="M50" i="115"/>
  <c r="K50" i="115"/>
  <c r="I50" i="115"/>
  <c r="H50" i="115"/>
  <c r="G50" i="115"/>
  <c r="F50" i="115"/>
  <c r="E50" i="115"/>
  <c r="D50" i="115"/>
  <c r="C50" i="115"/>
  <c r="B50" i="115"/>
  <c r="Q49" i="115"/>
  <c r="O49" i="115"/>
  <c r="M49" i="115"/>
  <c r="K49" i="115"/>
  <c r="I49" i="115"/>
  <c r="H49" i="115"/>
  <c r="G49" i="115"/>
  <c r="F49" i="115"/>
  <c r="E49" i="115"/>
  <c r="D49" i="115"/>
  <c r="C49" i="115"/>
  <c r="B49" i="115"/>
  <c r="K46" i="115"/>
  <c r="K45" i="115"/>
  <c r="O43" i="115"/>
  <c r="K43" i="115"/>
  <c r="I43" i="115"/>
  <c r="H43" i="115"/>
  <c r="G43" i="115"/>
  <c r="F43" i="115"/>
  <c r="E43" i="115"/>
  <c r="D43" i="115"/>
  <c r="B43" i="115"/>
  <c r="M42" i="115"/>
  <c r="H42" i="115"/>
  <c r="G42" i="115"/>
  <c r="E42" i="115"/>
  <c r="O41" i="115"/>
  <c r="M41" i="115"/>
  <c r="K41" i="115"/>
  <c r="H41" i="115"/>
  <c r="G41" i="115"/>
  <c r="F41" i="115"/>
  <c r="E41" i="115"/>
  <c r="B41" i="115"/>
  <c r="Q40" i="115"/>
  <c r="O40" i="115"/>
  <c r="M40" i="115"/>
  <c r="K40" i="115"/>
  <c r="I40" i="115"/>
  <c r="H40" i="115"/>
  <c r="G40" i="115"/>
  <c r="F40" i="115"/>
  <c r="E40" i="115"/>
  <c r="D40" i="115"/>
  <c r="C40" i="115"/>
  <c r="B40" i="115"/>
  <c r="O38" i="115"/>
  <c r="K38" i="115"/>
  <c r="H38" i="115"/>
  <c r="G38" i="115"/>
  <c r="F38" i="115"/>
  <c r="E38" i="115"/>
  <c r="D38" i="115"/>
  <c r="C38" i="115"/>
  <c r="B38" i="115"/>
  <c r="O37" i="115"/>
  <c r="K37" i="115"/>
  <c r="H37" i="115"/>
  <c r="G37" i="115"/>
  <c r="F37" i="115"/>
  <c r="E37" i="115"/>
  <c r="D37" i="115"/>
  <c r="C37" i="115"/>
  <c r="B37" i="115"/>
  <c r="I40" i="113" l="1"/>
  <c r="I37" i="113"/>
  <c r="O37" i="113"/>
  <c r="E59" i="70" l="1"/>
  <c r="N48" i="61" l="1"/>
  <c r="I48" i="95"/>
  <c r="I47" i="95"/>
  <c r="I46" i="95"/>
  <c r="E56" i="70" l="1"/>
  <c r="E55" i="70"/>
  <c r="E53" i="70"/>
  <c r="E52" i="70"/>
  <c r="E51" i="70"/>
  <c r="E49" i="70"/>
  <c r="E48" i="70"/>
  <c r="E47" i="70"/>
  <c r="E46" i="70"/>
  <c r="E45" i="70"/>
  <c r="E44" i="70"/>
  <c r="E42" i="70"/>
  <c r="D74" i="91" l="1"/>
  <c r="D71" i="91"/>
  <c r="D66" i="91"/>
  <c r="D51" i="91"/>
  <c r="D47" i="91"/>
  <c r="D41" i="91"/>
  <c r="D33" i="91"/>
  <c r="D30" i="91"/>
  <c r="D27" i="91"/>
  <c r="D21" i="91"/>
  <c r="D11" i="91"/>
  <c r="F35" i="56"/>
  <c r="F34" i="56"/>
  <c r="F33" i="56"/>
  <c r="F32" i="56"/>
  <c r="F31" i="56"/>
  <c r="F30" i="56"/>
  <c r="F29" i="56"/>
  <c r="F28" i="56"/>
  <c r="F27" i="56"/>
  <c r="F26" i="56"/>
  <c r="F25" i="56"/>
  <c r="F23" i="56"/>
  <c r="F22" i="56"/>
  <c r="F21" i="56"/>
  <c r="F20" i="56"/>
  <c r="F19" i="56"/>
  <c r="F18" i="56"/>
  <c r="F17" i="56"/>
  <c r="F16" i="56"/>
  <c r="E35" i="56"/>
  <c r="E34" i="56"/>
  <c r="E33" i="56"/>
  <c r="E32" i="56"/>
  <c r="E31" i="56"/>
  <c r="E30" i="56"/>
  <c r="E29" i="56"/>
  <c r="E28" i="56"/>
  <c r="E27" i="56"/>
  <c r="E25" i="56"/>
  <c r="E24" i="56"/>
  <c r="E23" i="56"/>
  <c r="E22" i="56"/>
  <c r="E21" i="56"/>
  <c r="E20" i="56"/>
  <c r="E19" i="56"/>
  <c r="E18" i="56"/>
  <c r="E17" i="56"/>
  <c r="E16" i="56"/>
  <c r="D35" i="56"/>
  <c r="D34" i="56"/>
  <c r="D33" i="56"/>
  <c r="D32" i="56"/>
  <c r="D31" i="56"/>
  <c r="D30" i="56"/>
  <c r="D29" i="56"/>
  <c r="D28" i="56"/>
  <c r="D27" i="56"/>
  <c r="D24" i="56"/>
  <c r="D23" i="56"/>
  <c r="D22" i="56"/>
  <c r="D21" i="56"/>
  <c r="D20" i="56"/>
  <c r="D19" i="56"/>
  <c r="D18" i="56"/>
  <c r="D17" i="56"/>
  <c r="D16" i="56"/>
  <c r="I64" i="22"/>
  <c r="H19" i="25"/>
  <c r="J46" i="7" l="1"/>
  <c r="J45" i="7"/>
  <c r="J18" i="7"/>
  <c r="J48" i="7"/>
  <c r="K17" i="70" l="1"/>
  <c r="N54" i="61"/>
  <c r="K15" i="70"/>
  <c r="M64" i="94"/>
  <c r="M63" i="94"/>
  <c r="M62" i="94"/>
  <c r="M60" i="94"/>
  <c r="M59" i="94"/>
  <c r="M58" i="94"/>
  <c r="M57" i="94"/>
  <c r="M56" i="94"/>
  <c r="M55" i="94"/>
  <c r="M53" i="94"/>
  <c r="M52" i="94"/>
  <c r="M51" i="94"/>
  <c r="M50" i="94"/>
  <c r="M49" i="94"/>
  <c r="M48" i="94"/>
  <c r="M46" i="94"/>
  <c r="M40" i="94"/>
  <c r="M39" i="94"/>
  <c r="M33" i="94"/>
  <c r="M32" i="94"/>
  <c r="M27" i="94"/>
  <c r="M24" i="94"/>
  <c r="M20" i="94"/>
  <c r="M18" i="94"/>
  <c r="M13" i="94"/>
  <c r="M11" i="94"/>
  <c r="M6" i="94"/>
  <c r="FE251" i="70" l="1"/>
  <c r="FE252" i="70"/>
  <c r="FE256" i="70"/>
  <c r="FE257" i="70"/>
  <c r="FE258" i="70"/>
  <c r="N53" i="61" l="1"/>
  <c r="N52" i="61"/>
  <c r="N44" i="61"/>
  <c r="O52" i="61"/>
  <c r="O53" i="61"/>
  <c r="M45" i="94" l="1"/>
  <c r="M41" i="94"/>
  <c r="I45" i="95" l="1"/>
  <c r="I44" i="95"/>
  <c r="I43" i="95"/>
  <c r="I42" i="95"/>
  <c r="I40" i="95"/>
  <c r="I39" i="95"/>
  <c r="I38" i="95"/>
  <c r="I41" i="95"/>
  <c r="I36" i="95"/>
  <c r="I34" i="95"/>
  <c r="I33" i="95"/>
  <c r="I32" i="95"/>
  <c r="I30" i="95"/>
  <c r="I29" i="95"/>
  <c r="I37" i="95"/>
  <c r="I28" i="95"/>
  <c r="I27" i="95"/>
  <c r="I35" i="95"/>
  <c r="I26" i="95"/>
  <c r="I25" i="95"/>
  <c r="I24" i="95"/>
  <c r="I23" i="95"/>
  <c r="I22" i="95"/>
  <c r="I21" i="95"/>
  <c r="I20" i="95"/>
  <c r="I19" i="95"/>
  <c r="I18" i="95"/>
  <c r="I17" i="95"/>
  <c r="I16" i="95"/>
  <c r="I31" i="95"/>
  <c r="F28" i="26" l="1"/>
  <c r="D61" i="91" l="1"/>
  <c r="D57" i="91"/>
  <c r="D54" i="91"/>
  <c r="D44" i="91"/>
  <c r="D36" i="91"/>
  <c r="D24" i="91"/>
  <c r="D17" i="91"/>
  <c r="D14" i="91"/>
  <c r="J26" i="7"/>
  <c r="J25" i="7"/>
  <c r="J16" i="7"/>
  <c r="F34" i="20" l="1"/>
  <c r="J17" i="24" l="1"/>
  <c r="J16" i="24"/>
  <c r="J15" i="24" l="1"/>
  <c r="J20" i="24"/>
  <c r="J19" i="24"/>
  <c r="F44" i="85" l="1"/>
  <c r="F43" i="85"/>
  <c r="F31" i="85"/>
  <c r="G30" i="85"/>
  <c r="F30" i="85"/>
  <c r="G29" i="85"/>
  <c r="F29" i="85"/>
  <c r="G25" i="85"/>
  <c r="F25" i="85"/>
  <c r="FV24" i="85"/>
  <c r="FV25" i="85" s="1"/>
  <c r="FT52" i="85" s="1"/>
  <c r="FV22" i="85"/>
  <c r="FV26" i="85" s="1"/>
  <c r="FT53" i="85" s="1"/>
  <c r="F20" i="85"/>
  <c r="G18" i="85"/>
  <c r="F18" i="85"/>
  <c r="F14" i="85"/>
  <c r="FU60" i="85" l="1"/>
  <c r="C245" i="85" s="1"/>
  <c r="FU58" i="85"/>
  <c r="C243" i="85" s="1"/>
  <c r="FU61" i="85"/>
  <c r="C246" i="85" s="1"/>
  <c r="FU59" i="85"/>
  <c r="C244" i="85" s="1"/>
  <c r="FU57" i="85"/>
  <c r="C242" i="85" s="1"/>
  <c r="FU56" i="85"/>
  <c r="C240" i="85" s="1"/>
  <c r="FU54" i="85"/>
  <c r="C238" i="85" s="1"/>
  <c r="FU55" i="85"/>
  <c r="C239" i="85" s="1"/>
  <c r="FU53" i="85"/>
  <c r="C241" i="85" s="1"/>
  <c r="FU52" i="85"/>
  <c r="C237" i="85" s="1"/>
  <c r="N55" i="61" l="1"/>
  <c r="O45" i="61"/>
  <c r="O44" i="61"/>
  <c r="O43" i="61"/>
  <c r="O42" i="61"/>
  <c r="O41" i="61"/>
  <c r="O40" i="61"/>
  <c r="K55" i="70" l="1"/>
  <c r="K54" i="70"/>
  <c r="K53" i="70"/>
  <c r="K52" i="70"/>
  <c r="K50" i="70"/>
  <c r="K49" i="70"/>
  <c r="K48" i="70"/>
  <c r="K47" i="70"/>
  <c r="K45" i="70"/>
  <c r="K44" i="70"/>
  <c r="K43" i="70"/>
  <c r="K42" i="70"/>
  <c r="K41" i="70"/>
  <c r="K40" i="70"/>
  <c r="K39" i="70"/>
  <c r="K38" i="70"/>
  <c r="K37" i="70"/>
  <c r="K36" i="70"/>
  <c r="K35" i="70"/>
  <c r="K31" i="70"/>
  <c r="K33" i="70"/>
  <c r="K32" i="70"/>
  <c r="K30" i="70"/>
  <c r="K29" i="70"/>
  <c r="K28" i="70"/>
  <c r="K27" i="70"/>
  <c r="K12" i="70" l="1"/>
  <c r="E62" i="70" l="1"/>
  <c r="E61" i="70"/>
  <c r="K13" i="70"/>
  <c r="E58" i="70"/>
  <c r="K19" i="70"/>
  <c r="K58" i="70"/>
  <c r="K57" i="70"/>
  <c r="E54" i="70"/>
  <c r="K23" i="70"/>
  <c r="E50" i="70"/>
  <c r="E41" i="70"/>
  <c r="E39" i="70"/>
  <c r="E38" i="70"/>
  <c r="E36" i="70"/>
  <c r="E35" i="70"/>
  <c r="E34" i="70"/>
  <c r="E33" i="70"/>
  <c r="E32" i="70"/>
  <c r="E31" i="70"/>
  <c r="E29" i="70"/>
  <c r="E28" i="70"/>
  <c r="E27" i="70"/>
  <c r="E26" i="70"/>
  <c r="E25" i="70"/>
  <c r="E24" i="70"/>
  <c r="FW22" i="70"/>
  <c r="FW23" i="70" s="1"/>
  <c r="FU54" i="70" s="1"/>
  <c r="E22" i="70"/>
  <c r="FW21" i="70"/>
  <c r="E21" i="70"/>
  <c r="E20" i="70"/>
  <c r="E19" i="70"/>
  <c r="E18" i="70"/>
  <c r="E17" i="70"/>
  <c r="E15" i="70"/>
  <c r="E14" i="70"/>
  <c r="E13" i="70"/>
  <c r="E12" i="70"/>
  <c r="FV54" i="70" l="1"/>
  <c r="C233" i="70" s="1"/>
  <c r="FV58" i="70"/>
  <c r="C236" i="70" s="1"/>
  <c r="FV57" i="70"/>
  <c r="C235" i="70" s="1"/>
  <c r="FV56" i="70"/>
  <c r="C234" i="70" s="1"/>
  <c r="FV55" i="70"/>
  <c r="C237" i="70" s="1"/>
  <c r="O55" i="61" l="1"/>
  <c r="O24" i="61"/>
  <c r="O20" i="61"/>
  <c r="O19" i="61"/>
  <c r="O18" i="61"/>
  <c r="O17" i="61"/>
  <c r="O15" i="61"/>
  <c r="O13" i="61"/>
  <c r="O12" i="61"/>
  <c r="O10" i="61"/>
  <c r="O6" i="61"/>
  <c r="O26" i="61"/>
  <c r="O22" i="61"/>
  <c r="O14" i="61"/>
  <c r="O8" i="61"/>
  <c r="G20" i="14" l="1"/>
  <c r="I34" i="25" l="1"/>
  <c r="I33" i="25"/>
  <c r="I32" i="25"/>
  <c r="I31" i="25"/>
  <c r="I30" i="25"/>
  <c r="H21" i="25"/>
  <c r="F16" i="25"/>
  <c r="E16" i="25"/>
  <c r="F15" i="25"/>
  <c r="E15" i="25"/>
  <c r="G11" i="25"/>
  <c r="F11" i="25"/>
  <c r="E11" i="25"/>
  <c r="J28" i="24"/>
  <c r="J27" i="24"/>
  <c r="J22" i="24"/>
  <c r="J21" i="24"/>
  <c r="I55" i="23"/>
  <c r="I54" i="23"/>
  <c r="I53" i="23"/>
  <c r="I52" i="23"/>
  <c r="M26" i="23"/>
  <c r="M25" i="23"/>
  <c r="M20" i="23"/>
  <c r="I17" i="23"/>
  <c r="I65" i="22"/>
  <c r="M60" i="20"/>
  <c r="F60" i="20"/>
  <c r="N57" i="20"/>
  <c r="M57" i="20"/>
  <c r="F54" i="20"/>
  <c r="N49" i="20"/>
  <c r="M49" i="20"/>
  <c r="F45" i="20"/>
  <c r="N42" i="20"/>
  <c r="M42" i="20"/>
  <c r="F40" i="20"/>
  <c r="F35" i="20"/>
  <c r="M31" i="20"/>
  <c r="F31" i="20"/>
  <c r="M30" i="20"/>
  <c r="M29" i="20"/>
  <c r="M27" i="20"/>
  <c r="F25" i="20"/>
  <c r="M24" i="20"/>
  <c r="M23" i="20"/>
  <c r="M19" i="20"/>
  <c r="F19" i="20"/>
  <c r="E82" i="18"/>
  <c r="E79" i="18"/>
  <c r="E76" i="18"/>
  <c r="E73" i="18"/>
  <c r="E70" i="18"/>
  <c r="E68" i="18"/>
  <c r="E67" i="18"/>
  <c r="E66" i="18"/>
  <c r="E65" i="18"/>
  <c r="E63" i="18"/>
  <c r="E61" i="18"/>
  <c r="E58" i="18"/>
  <c r="E55" i="18"/>
  <c r="E52" i="18"/>
  <c r="E49" i="18"/>
  <c r="E46" i="18"/>
  <c r="E43" i="18"/>
  <c r="E40" i="18"/>
  <c r="E36" i="18"/>
  <c r="E33" i="18"/>
  <c r="E30" i="18"/>
  <c r="E27" i="18"/>
  <c r="E24" i="18"/>
  <c r="E21" i="18"/>
  <c r="E18" i="18"/>
  <c r="E13" i="18"/>
  <c r="G36" i="14"/>
  <c r="F36" i="14"/>
  <c r="G35" i="14"/>
  <c r="F35" i="14"/>
  <c r="G34" i="14"/>
  <c r="F34" i="14"/>
  <c r="G33" i="14"/>
  <c r="F33" i="14"/>
  <c r="G32" i="14"/>
  <c r="F32" i="14"/>
  <c r="G31" i="14"/>
  <c r="F31" i="14"/>
  <c r="G30" i="14"/>
  <c r="F30" i="14"/>
  <c r="F19" i="14"/>
  <c r="G18" i="14"/>
  <c r="F18" i="14"/>
  <c r="G16" i="14"/>
  <c r="F16" i="14"/>
  <c r="G15" i="14"/>
  <c r="F15" i="14"/>
  <c r="G13" i="14"/>
  <c r="F13" i="14"/>
  <c r="G12" i="14"/>
  <c r="F12" i="14"/>
  <c r="J43" i="7"/>
  <c r="J42" i="7"/>
  <c r="J41" i="7"/>
  <c r="J40" i="7"/>
  <c r="J39" i="7"/>
  <c r="J37" i="7"/>
  <c r="J36" i="7"/>
  <c r="J35" i="7"/>
  <c r="J34" i="7"/>
  <c r="J32" i="7"/>
  <c r="J31" i="7"/>
  <c r="J30" i="7"/>
  <c r="J28" i="7"/>
  <c r="J24" i="7"/>
  <c r="J23" i="7"/>
  <c r="J22" i="7"/>
  <c r="J21" i="7"/>
  <c r="J20" i="7"/>
  <c r="J15" i="7"/>
  <c r="J14" i="7"/>
  <c r="J13" i="7"/>
  <c r="M21" i="23" l="1"/>
  <c r="I24" i="23"/>
  <c r="M24" i="23"/>
  <c r="O17" i="23"/>
  <c r="I25" i="23"/>
  <c r="I20" i="23"/>
  <c r="I26" i="23"/>
  <c r="M17" i="23"/>
  <c r="I21" i="23"/>
</calcChain>
</file>

<file path=xl/sharedStrings.xml><?xml version="1.0" encoding="utf-8"?>
<sst xmlns="http://schemas.openxmlformats.org/spreadsheetml/2006/main" count="6811" uniqueCount="3435">
  <si>
    <t xml:space="preserve"> Металлочерепица, Фальцевая Кровля, Профнастил, Металлический Сайдинг, Плоский Лист Grand Line®</t>
  </si>
  <si>
    <t xml:space="preserve">цены действительны с </t>
  </si>
  <si>
    <t>Наименование профиля</t>
  </si>
  <si>
    <t>Коэфф. расчета*</t>
  </si>
  <si>
    <t>Толщина металла, мм / покрытия, мкм</t>
  </si>
  <si>
    <t>0,5 / 25</t>
  </si>
  <si>
    <t>0,5 / 30</t>
  </si>
  <si>
    <t>0,5 / 35</t>
  </si>
  <si>
    <t>0,5 / 55</t>
  </si>
  <si>
    <t>0,5 / 50</t>
  </si>
  <si>
    <t>Письменная гарантия Grand Line</t>
  </si>
  <si>
    <t>20 лет</t>
  </si>
  <si>
    <t>30 лет</t>
  </si>
  <si>
    <t>35 лет</t>
  </si>
  <si>
    <t>5 лет</t>
  </si>
  <si>
    <t>Металлочерепица и фальцевая кровля</t>
  </si>
  <si>
    <t>Металлочерепица Kvinta</t>
  </si>
  <si>
    <t>-</t>
  </si>
  <si>
    <t>Металлочерепица Classic</t>
  </si>
  <si>
    <t>Металлочерепица Country</t>
  </si>
  <si>
    <t>Двойной стоячий фальц/Profi**</t>
  </si>
  <si>
    <t>Кликфальц/Profi**</t>
  </si>
  <si>
    <t>Профилированный, плоский лист, штрипс и отмотка</t>
  </si>
  <si>
    <t>Профнастил GL8 (С8)</t>
  </si>
  <si>
    <t>Профнастил GL10 (С10)</t>
  </si>
  <si>
    <t>Профнастил GL10 (С10) Фигурный**</t>
  </si>
  <si>
    <t>Профнастил GL20 (С20)</t>
  </si>
  <si>
    <t>Профнастил GL21 (С21)</t>
  </si>
  <si>
    <t>Профнастил GL35 (НС35)</t>
  </si>
  <si>
    <t>Профнастил GL60 (Н60)</t>
  </si>
  <si>
    <t>Штрипс для фальца (625 мм)</t>
  </si>
  <si>
    <t>&lt;=1250</t>
  </si>
  <si>
    <t>Плоский лист</t>
  </si>
  <si>
    <t>Металлический сайдинг</t>
  </si>
  <si>
    <t>Сайдинг Корабельная Доска**</t>
  </si>
  <si>
    <t>Сайдинг Вертикаль GL**</t>
  </si>
  <si>
    <t>Сайдинг ЭкоБрус GL**/Gofr</t>
  </si>
  <si>
    <t>Сайдинг Блок-хаус GL**</t>
  </si>
  <si>
    <t>Металлический штакетник</t>
  </si>
  <si>
    <t>Штакетник П-образный</t>
  </si>
  <si>
    <t>Штакетник М-образный</t>
  </si>
  <si>
    <t>Защитная плёнка (фиксированная цена)</t>
  </si>
  <si>
    <t>*- коэффициент расчета при заказе антиконденсатного покрытия на 1 кв.м. продукции</t>
  </si>
  <si>
    <t xml:space="preserve">за заказ менее  7 кв.м. </t>
  </si>
  <si>
    <t>наценка 1500 руб.</t>
  </si>
  <si>
    <t xml:space="preserve">за заказ от 7  до 25 кв.м. </t>
  </si>
  <si>
    <t xml:space="preserve"> наценка 100%</t>
  </si>
  <si>
    <t>за заказ от 25 до  50 кв.м.</t>
  </si>
  <si>
    <t xml:space="preserve"> наценка 20%</t>
  </si>
  <si>
    <t xml:space="preserve">за заказ от 50 до 100 кв.м. </t>
  </si>
  <si>
    <t xml:space="preserve"> наценка 10%</t>
  </si>
  <si>
    <t>При заказе металлочерепицы, профнастила, пл. листа, штрипсы и отмотки:</t>
  </si>
  <si>
    <t>Вся продукция изготавливается из металла по ГОСТ 52146-2003 и ГОСТ 52246-2004</t>
  </si>
  <si>
    <t>Наценка</t>
  </si>
  <si>
    <t>Срок изготовления</t>
  </si>
  <si>
    <t>за заказ менее 5 кв.м.</t>
  </si>
  <si>
    <t>стандартный</t>
  </si>
  <si>
    <t>за заказ от 5 до 10 кв.м.</t>
  </si>
  <si>
    <t>за заказ от 10 до 25 кв.м.</t>
  </si>
  <si>
    <t>за заказ менее 25 кв.м.</t>
  </si>
  <si>
    <t>нет</t>
  </si>
  <si>
    <t>14 дней</t>
  </si>
  <si>
    <t>Остатки при нарезке штрипса выставляются в счёт.</t>
  </si>
  <si>
    <t>Принимаем заказы на Блок-хаус и ЭкоБрус в покрытии под дерево без наценки в стандартные сроки в любом объеме.</t>
  </si>
  <si>
    <t>Фальц двойной стоячий - стоимость материала считается исходя из ширины 625 мм</t>
  </si>
  <si>
    <t>Кликфальц - стоимость материала считается исходя из ширины 542 мм</t>
  </si>
  <si>
    <t>Ваша скидка</t>
  </si>
  <si>
    <t>Металлочерепица, Фальцевая Кровля, Профнастил, Металлический Сайдинг, Плоский лист Optima</t>
  </si>
  <si>
    <t>цены действительны с</t>
  </si>
  <si>
    <t>коэфф расчета*</t>
  </si>
  <si>
    <t>Цена, руб./кв.м.</t>
  </si>
  <si>
    <t>Zn</t>
  </si>
  <si>
    <t>0,65***</t>
  </si>
  <si>
    <t>(Zn 80-140 г/кв.м.)</t>
  </si>
  <si>
    <t>Гарантия</t>
  </si>
  <si>
    <t>2 года</t>
  </si>
  <si>
    <t>10 лет</t>
  </si>
  <si>
    <t>6 месяцев</t>
  </si>
  <si>
    <t>Металлочерепица Classic/Modern</t>
  </si>
  <si>
    <t>Двойной стоячий фальц/Profi</t>
  </si>
  <si>
    <t>Кликфальц/Profi</t>
  </si>
  <si>
    <t>Профнастил С8</t>
  </si>
  <si>
    <t>Профнастил С10</t>
  </si>
  <si>
    <t>Профнастил С10 Фигурный**</t>
  </si>
  <si>
    <t>Профнастил С20</t>
  </si>
  <si>
    <t>Профнастил С21</t>
  </si>
  <si>
    <t>Профнастил НС35</t>
  </si>
  <si>
    <t xml:space="preserve"> - </t>
  </si>
  <si>
    <t>Профнастил Н60</t>
  </si>
  <si>
    <t>Профнастил Н75</t>
  </si>
  <si>
    <t>1.000</t>
  </si>
  <si>
    <t>Сайдинг Вертикаль**</t>
  </si>
  <si>
    <t>Сайдинг Блок-хаус**</t>
  </si>
  <si>
    <t>**- Фальц (в полимерных покрытиях), фигурный профнастил и сайдинг изготавливаются в защитной пленке</t>
  </si>
  <si>
    <t>***- Металл полиэстер 0,65 толщины не поддерживается на складах</t>
  </si>
  <si>
    <r>
      <t>Profi</t>
    </r>
    <r>
      <rPr>
        <sz val="21"/>
        <rFont val="Arial"/>
        <family val="2"/>
        <charset val="204"/>
      </rPr>
      <t xml:space="preserve"> - Фальцевая кровля с двумя дополнительными ребрами жесткости</t>
    </r>
  </si>
  <si>
    <r>
      <t>Металлочерепица Modern</t>
    </r>
    <r>
      <rPr>
        <sz val="21"/>
        <rFont val="Arial"/>
        <family val="2"/>
        <charset val="204"/>
      </rPr>
      <t xml:space="preserve"> изготавливается в толщинах: 0,4; 0,45</t>
    </r>
  </si>
  <si>
    <r>
      <t xml:space="preserve">Нанесение защитной пленки на весь фальц в полимерных покрытиях, сайдинг и фигурный профнастил - </t>
    </r>
    <r>
      <rPr>
        <b/>
        <sz val="21"/>
        <rFont val="Arial"/>
        <family val="2"/>
        <charset val="204"/>
      </rPr>
      <t>БЕСПЛАТНО!</t>
    </r>
  </si>
  <si>
    <t>Полиэстер</t>
  </si>
  <si>
    <t>ДВС 0,45</t>
  </si>
  <si>
    <t>Композитная черепица Decra (Бельгия)</t>
  </si>
  <si>
    <t>Тип</t>
  </si>
  <si>
    <t>Подходит для коллекций</t>
  </si>
  <si>
    <t>Размер</t>
  </si>
  <si>
    <t>Ед. изм.</t>
  </si>
  <si>
    <t>Розничная цена, руб./шт</t>
  </si>
  <si>
    <t>х</t>
  </si>
  <si>
    <t>шт.</t>
  </si>
  <si>
    <t>Планка примыкания Stratos левая</t>
  </si>
  <si>
    <t>Stratos</t>
  </si>
  <si>
    <t>терракота</t>
  </si>
  <si>
    <t>Планка примыкания Stratos правая</t>
  </si>
  <si>
    <t>Планка примыкания к стене (прижимная планка)</t>
  </si>
  <si>
    <t>Classic, Roman, Stratos</t>
  </si>
  <si>
    <t>Карнизная планка Classic</t>
  </si>
  <si>
    <t>Лист плоский Decra</t>
  </si>
  <si>
    <t>1250 х 450 мм</t>
  </si>
  <si>
    <t>Фронтонная (торцевая)  планка левая</t>
  </si>
  <si>
    <t>Classic</t>
  </si>
  <si>
    <t>Конек полукруглый одинарный</t>
  </si>
  <si>
    <t>Classic, Roman</t>
  </si>
  <si>
    <t>Фронтонная (торцевая)  планка правая</t>
  </si>
  <si>
    <t>Конек полукруглый тройной</t>
  </si>
  <si>
    <t>Фронтонная (торцевая) планка левая Roman</t>
  </si>
  <si>
    <t>Roman</t>
  </si>
  <si>
    <t>Конек полукруглый начальный</t>
  </si>
  <si>
    <t>L = 423 мм</t>
  </si>
  <si>
    <t>Фронтонная (торцевая) планка правая Roman</t>
  </si>
  <si>
    <t>Конек полукруглый конечный</t>
  </si>
  <si>
    <t>Фронтонная (торцевая)  планка левая Stratos</t>
  </si>
  <si>
    <t>Конек полукруглый начальный HIP</t>
  </si>
  <si>
    <t>Фронтонная (торцевая)  планка правая Stratos</t>
  </si>
  <si>
    <t>Y-образный элемент полукруглого конька начальный</t>
  </si>
  <si>
    <t>уп.</t>
  </si>
  <si>
    <t>Y-образный элемент полукруглого конька конечный</t>
  </si>
  <si>
    <t>Рем. комплект (1,2 кг)</t>
  </si>
  <si>
    <t>все цвета</t>
  </si>
  <si>
    <t>Конек полукруглый Т-образный</t>
  </si>
  <si>
    <t>1100 x 375 мм</t>
  </si>
  <si>
    <t>Конек V-образный тройной Stratos</t>
  </si>
  <si>
    <t>Вентилятор санитарный Classic</t>
  </si>
  <si>
    <t>423x 410 мм</t>
  </si>
  <si>
    <t>Заглушка для V-образного конька Stratos</t>
  </si>
  <si>
    <t>Вентилятор подкровельного пространства Classic</t>
  </si>
  <si>
    <t>423 x 410 мм</t>
  </si>
  <si>
    <t>L = 2000 мм</t>
  </si>
  <si>
    <t>м.п.</t>
  </si>
  <si>
    <t>630 x 375 мм</t>
  </si>
  <si>
    <t>Фартук (планка примыкания верхнего)</t>
  </si>
  <si>
    <t>Вентилятор санитарный Stratos</t>
  </si>
  <si>
    <t>454 x 364 мм</t>
  </si>
  <si>
    <t>Планка примыкания левая</t>
  </si>
  <si>
    <t>Вентилятор подкровельного пространства Stratos</t>
  </si>
  <si>
    <t>Планка примыкания  правая</t>
  </si>
  <si>
    <t>Проходной элемент CLASSIC TV</t>
  </si>
  <si>
    <t>427 x 415 мм</t>
  </si>
  <si>
    <t>Цены могут быть пересмотрены и изменены Поставщиком в одностороннем порядке без предварительного уведомления Покупателя</t>
  </si>
  <si>
    <t>Комплектующие</t>
  </si>
  <si>
    <t>Доборные элементы для кровельных систем и ограждений</t>
  </si>
  <si>
    <t>Элемент</t>
  </si>
  <si>
    <t>Длина</t>
  </si>
  <si>
    <t>Цена, руб/п.м.</t>
  </si>
  <si>
    <t>Print</t>
  </si>
  <si>
    <t>Print dp</t>
  </si>
  <si>
    <t>Velur®20</t>
  </si>
  <si>
    <t>Safari</t>
  </si>
  <si>
    <t>Quarzit lite</t>
  </si>
  <si>
    <t>Доборные элементы кровли</t>
  </si>
  <si>
    <t>Конек плоский 115*30*115</t>
  </si>
  <si>
    <t>п.м.</t>
  </si>
  <si>
    <t>2м/3 м</t>
  </si>
  <si>
    <t>Конек полукруглый</t>
  </si>
  <si>
    <t>2м</t>
  </si>
  <si>
    <t>Конек полукруглый малый</t>
  </si>
  <si>
    <t>Конек плоский 145*145</t>
  </si>
  <si>
    <t>Конек плоский 150*40*150</t>
  </si>
  <si>
    <t>Конек плоский 190*190</t>
  </si>
  <si>
    <t>Планка конька односкатной кровли 160х160</t>
  </si>
  <si>
    <t>Заглушка к полукруг.коньку торцевая</t>
  </si>
  <si>
    <t>шт</t>
  </si>
  <si>
    <t>Заглушка к полукруг.коньку конусная</t>
  </si>
  <si>
    <t>Заглушка к полукруг.коньку малому торцевая</t>
  </si>
  <si>
    <t>Заглушка к полукруг.коньку малому конусная</t>
  </si>
  <si>
    <t>Планка торцевая 100*80</t>
  </si>
  <si>
    <t>Планка карнизная/капельник 100*65</t>
  </si>
  <si>
    <t>Ендова верхняя 115*30*115</t>
  </si>
  <si>
    <t>Ендова верхняя 145*145</t>
  </si>
  <si>
    <t>Ендова нижняя 300*300</t>
  </si>
  <si>
    <t>Планка примыкания 150*250</t>
  </si>
  <si>
    <t>Планка примыкания нижняя 122*260</t>
  </si>
  <si>
    <t xml:space="preserve">Планка снегозадержания </t>
  </si>
  <si>
    <t>Планка снегозадержания усиливающая</t>
  </si>
  <si>
    <t>Планка примыкания внакладку</t>
  </si>
  <si>
    <t>Планка мансардная</t>
  </si>
  <si>
    <t>Планка лобовая 190*50</t>
  </si>
  <si>
    <t>Планка примыкание в штробу</t>
  </si>
  <si>
    <t>0,5 м</t>
  </si>
  <si>
    <t>Планка примыкание верхнее к стене фальц 150*130*20</t>
  </si>
  <si>
    <t>Планка карнизная фальц 130х80</t>
  </si>
  <si>
    <t xml:space="preserve">Планка крепежная фальц </t>
  </si>
  <si>
    <t xml:space="preserve">Планка примыкание боковое фальц </t>
  </si>
  <si>
    <t>Планка примыкание верхнее к трубе фальц</t>
  </si>
  <si>
    <t xml:space="preserve">Планка примыкание нижнее к трубе фальц </t>
  </si>
  <si>
    <t>Планка торцевая фальц 60х97</t>
  </si>
  <si>
    <t>Планка ветровая двойная завальцовка 60*30*90</t>
  </si>
  <si>
    <t>Планка ветровая простая 100*20*100</t>
  </si>
  <si>
    <t>Планка ветровая простая 130*25*100</t>
  </si>
  <si>
    <t>Планка капельник 100*60</t>
  </si>
  <si>
    <t>Планка капельник 135*50</t>
  </si>
  <si>
    <t>Доборные элементы для ограждений</t>
  </si>
  <si>
    <t>Планка П-образная заборная 20</t>
  </si>
  <si>
    <t>Планка П-образная заборная 17</t>
  </si>
  <si>
    <t>Нестандартные доборные элементы</t>
  </si>
  <si>
    <t>PE 0,45</t>
  </si>
  <si>
    <t>PE двс</t>
  </si>
  <si>
    <t xml:space="preserve">Zn </t>
  </si>
  <si>
    <t>Zn 0,55</t>
  </si>
  <si>
    <t>Zn 0,7</t>
  </si>
  <si>
    <t>Упаковка ДЭ (поддон) обязательно выписывается, если выполняется хотя бы одно из условий:</t>
  </si>
  <si>
    <t>1. Общий погонаж всех доборных элементов более 200-300 м.п.</t>
  </si>
  <si>
    <t>2. Если количество ендов нижних 300*300 мм более 30 шт.</t>
  </si>
  <si>
    <t>3. Если планок примыкания более 20 шт.</t>
  </si>
  <si>
    <t>4. Если конька полукруглого больше 30 шт.</t>
  </si>
  <si>
    <t>5. Если нестандартных доборных элементов при развертке более 300 мм более 30 шт.</t>
  </si>
  <si>
    <t>Доборные элементы для кровли и ограждений</t>
  </si>
  <si>
    <t>Доборные элементы для фасадных систем и заборов</t>
  </si>
  <si>
    <t>Доборные элементы сайдинга Корабельная доска и Вертикаль</t>
  </si>
  <si>
    <t>Планка П-образная 20х30 мм /заверш.сложная/</t>
  </si>
  <si>
    <t>Планка начальная</t>
  </si>
  <si>
    <t>Планка угла внутреннего 50х50 мм</t>
  </si>
  <si>
    <t>Планка угла внутреннего сложного 75х75 мм</t>
  </si>
  <si>
    <t>Планка угла внешнего 50х50 мм</t>
  </si>
  <si>
    <t>Планка угла внешнего сложного 75х75 мм</t>
  </si>
  <si>
    <t>Планка завершающая, 65 мм</t>
  </si>
  <si>
    <t>Планка стыковочная, 60 мм</t>
  </si>
  <si>
    <t>Планка Н-образная 75 мм/стыков.сложная/</t>
  </si>
  <si>
    <t>Планка угла внешнего 110*110</t>
  </si>
  <si>
    <t>Планка угла внешнего простая 30*30</t>
  </si>
  <si>
    <t>Планка для внутренних углов 110*110</t>
  </si>
  <si>
    <t>Планка угла внутреннего простая 30*30</t>
  </si>
  <si>
    <t>Околооконная планка простая 200х50 мм</t>
  </si>
  <si>
    <t>Околооконная планка простая 200х75 мм</t>
  </si>
  <si>
    <t>Околооконная планка простая 250х50 мм</t>
  </si>
  <si>
    <t>Околооконная планка простая 250х75 мм</t>
  </si>
  <si>
    <t>Планка угла внутреннего сложная 90º</t>
  </si>
  <si>
    <t xml:space="preserve">Планка угла внешнего сложная фигурная </t>
  </si>
  <si>
    <t>Отлив простой 100 мм</t>
  </si>
  <si>
    <t>Отлив простой 150 мм</t>
  </si>
  <si>
    <t>Отлив простой 160 мм</t>
  </si>
  <si>
    <t>Отлив простой 200 мм</t>
  </si>
  <si>
    <t>Отлив простой 250 мм</t>
  </si>
  <si>
    <t>Доборные элементы для сайдинга Корабельная доска,  Вертикаль,  ЭкоБрус и Блок-хаус GL</t>
  </si>
  <si>
    <t>Околооконная планка сложная 200х75 мм</t>
  </si>
  <si>
    <t>Околооконная планка сложная 250х75 мм</t>
  </si>
  <si>
    <t>Околооконная планка сложная фигурная 200х50 мм</t>
  </si>
  <si>
    <t>Околооконная планка сложная фигурная 250х50 мм</t>
  </si>
  <si>
    <t>Доборные элементы Блок-хаус GL</t>
  </si>
  <si>
    <t>Планка П-образная (Блок-хаус GL)</t>
  </si>
  <si>
    <t>Планка стартово-финишная (Блок-хаус GL)</t>
  </si>
  <si>
    <t xml:space="preserve">Планка стыковочная составная верхняя </t>
  </si>
  <si>
    <t xml:space="preserve">Планка стыковочная составная нижняя </t>
  </si>
  <si>
    <t xml:space="preserve">Планка угла внешнего составная верхняя </t>
  </si>
  <si>
    <t xml:space="preserve">Планка угла внешнего составная нижняя </t>
  </si>
  <si>
    <t xml:space="preserve">Планка угла внутреннего составная верхняя </t>
  </si>
  <si>
    <t>Планка угла внутреннего составная нижняя</t>
  </si>
  <si>
    <t>Доборные элементы ЭкоБрус GL</t>
  </si>
  <si>
    <t>Планка П-образная (ЭкоБрус GL)</t>
  </si>
  <si>
    <t>Планка стартово-финишная (ЭкоБрус GL)</t>
  </si>
  <si>
    <t>Планка Н-образная (ЭкоБрус GL)</t>
  </si>
  <si>
    <t>Планка угла внешнего сложного (ЭкоБрус GL)</t>
  </si>
  <si>
    <t>Планка угла внутреннего сложного (ЭкоБрус GL)</t>
  </si>
  <si>
    <t>Металлическая вентилируемая обрешетка  0,6/0,7</t>
  </si>
  <si>
    <t>3м/4 м</t>
  </si>
  <si>
    <t>125/ 135</t>
  </si>
  <si>
    <t>Подсистема для вентилируемых фасадов</t>
  </si>
  <si>
    <t>Ед.изм.</t>
  </si>
  <si>
    <t>Цена, руб.</t>
  </si>
  <si>
    <t>Дюбель фасадный 10х100 (50 шт)</t>
  </si>
  <si>
    <t>Крепежный кронштейн усиленный ККУ 120х100х80 (1,2мм)</t>
  </si>
  <si>
    <t>Крепежный кронштейн усиленный ККУ 90х80х100 (1,2мм)</t>
  </si>
  <si>
    <t>Крепежный профиль Г-образный 40х40х3000 (1,2мм)</t>
  </si>
  <si>
    <t>Крепежный профиль Г-образный 60х40х3000 (1,2мм)</t>
  </si>
  <si>
    <t>Уплотнитель паронитовый 90х80 (2мм)</t>
  </si>
  <si>
    <t>Доборные элементы для фасада</t>
  </si>
  <si>
    <t xml:space="preserve">Флюгеры «Duck and Dog®» </t>
  </si>
  <si>
    <t>Внешний вид</t>
  </si>
  <si>
    <t>Нименование</t>
  </si>
  <si>
    <t>Цена руб./шт.</t>
  </si>
  <si>
    <t>Указатель ветра большой</t>
  </si>
  <si>
    <t>Крепление универсальное</t>
  </si>
  <si>
    <t>Полый ассортимент продукции «Duck and Dog®» уточняйте у менеджера.</t>
  </si>
  <si>
    <t>Упаковка</t>
  </si>
  <si>
    <t>Обозначение</t>
  </si>
  <si>
    <t>Описание</t>
  </si>
  <si>
    <t>Max длина</t>
  </si>
  <si>
    <t>Цена</t>
  </si>
  <si>
    <t>Упаковка для металлочерепицы:</t>
  </si>
  <si>
    <t xml:space="preserve">Упаковка СБ - Усиленная </t>
  </si>
  <si>
    <t>3 доски снизу, стрейч пленка, изодом, стяжка через бруски</t>
  </si>
  <si>
    <t>6 м</t>
  </si>
  <si>
    <t>Упаковка СБ - Максимум</t>
  </si>
  <si>
    <t>3 доски снизу, стрейч пленка, два слоя изодома, стяжка через бруски</t>
  </si>
  <si>
    <t xml:space="preserve">Упаковка СБ - Экстра </t>
  </si>
  <si>
    <t>3 доски снизу/сверху, стрейч пленка, изодом, стяжка через бруски</t>
  </si>
  <si>
    <t>Упаковка Короб</t>
  </si>
  <si>
    <t>3 доски снизу и сверху, 3 бруска 65*45*620, 1 брус 100*50, до 5 листов в упаковку</t>
  </si>
  <si>
    <t>Упаковка для профнастила:</t>
  </si>
  <si>
    <t>Упаковка Усиленная</t>
  </si>
  <si>
    <t>3 доски снизу, продольные доски снизу, стрейч пленка, изодом*, стяжка через бруски</t>
  </si>
  <si>
    <t>6,5 м</t>
  </si>
  <si>
    <t>Упаковка Поддон</t>
  </si>
  <si>
    <t>3 доски снизу, стрейч пленка, изодом*, стяжка через бруски</t>
  </si>
  <si>
    <t>8 м</t>
  </si>
  <si>
    <t>Упаковка Поддон Максимум</t>
  </si>
  <si>
    <t>3 доски снизу, стрейч пленка, два слоя изодома*, стяжка через бруски</t>
  </si>
  <si>
    <t xml:space="preserve">Упаковка СБ </t>
  </si>
  <si>
    <t>стяжка через бруски, изодом*</t>
  </si>
  <si>
    <t>12 м</t>
  </si>
  <si>
    <t>Упаковка СБ Максимум</t>
  </si>
  <si>
    <t>стяжка через бруски, два слоя изодома*</t>
  </si>
  <si>
    <t>Упаковка Короб/1260</t>
  </si>
  <si>
    <t xml:space="preserve">3 доски снизу и сверху, 3 бруска 65*45*500, 1 брус 75*75, до 5 листов в упаковку (С20, С21, НС35) </t>
  </si>
  <si>
    <t>3 доски снизу и сверху, 3 бруска 65*45*620, 1 брус 100*50, до 5 листов в упаковку (С8, С10)</t>
  </si>
  <si>
    <t>Упаковка для доборных элементов:</t>
  </si>
  <si>
    <t>Упаковка ДЭ (поддон)</t>
  </si>
  <si>
    <t>поддон, плёнка, изодом, металлическая лента</t>
  </si>
  <si>
    <t>3 м</t>
  </si>
  <si>
    <t>Упаковка для пл. листа, штрипса и отмотки:</t>
  </si>
  <si>
    <t>3 доски снизу, стрейч пленка, изодом, металлические уголки, стяжка через бруски</t>
  </si>
  <si>
    <t>6,05 м</t>
  </si>
  <si>
    <t xml:space="preserve">Упаковка Р (рулон) </t>
  </si>
  <si>
    <t>листы скручиваются в рулон, картонная вставка</t>
  </si>
  <si>
    <t>Упаковка Р (поддон)</t>
  </si>
  <si>
    <t>листы скручиваются в рулон, картонная вставка,изодом, слой защитного материала,стяжка, рулонный поддон</t>
  </si>
  <si>
    <t>Упаковка для сайдинга:</t>
  </si>
  <si>
    <t>Упаковка сайдинга "Короб"</t>
  </si>
  <si>
    <t>упаковочный материал, металлические уголки, фиксация скотчем, стяжка через бруски</t>
  </si>
  <si>
    <t>Упаковка сайдинга "Пленка"</t>
  </si>
  <si>
    <t>металлические уголки, изодом, стрейч пленка</t>
  </si>
  <si>
    <t xml:space="preserve">Упаковка (поддон) </t>
  </si>
  <si>
    <t>поддон, гофрокартон, упаковка сайдинга "пленка", слой защитного материала, стяжка через бруски</t>
  </si>
  <si>
    <t xml:space="preserve">Упаковка (усиленный поддон) </t>
  </si>
  <si>
    <t>клеть, поддон, упаковка сайдинга "пленка", слой защитного материала, стяжка через бруски</t>
  </si>
  <si>
    <t>Упаковка фальц**:</t>
  </si>
  <si>
    <t>Упаковка Фальц Усиленная</t>
  </si>
  <si>
    <t>поддон, стойки через 1 м, толщина стоек - 50х100</t>
  </si>
  <si>
    <t>Упаковка ФК Поддон</t>
  </si>
  <si>
    <t>поддон, два слоя изодома (сверху и снизу), стяжка через поддон</t>
  </si>
  <si>
    <t>9 м</t>
  </si>
  <si>
    <t>Упаковка ФК (клеть)</t>
  </si>
  <si>
    <t>клеть, поддон, слой защитного материала, металлическая стяжка</t>
  </si>
  <si>
    <t>Упаковка ФК Усиленная (клеть)</t>
  </si>
  <si>
    <t>клеть, поддон, слой защитного материала, металлическая стяжка (с досками сверху для погрузки в 2 ряда)</t>
  </si>
  <si>
    <t>Упаковка штакетника:</t>
  </si>
  <si>
    <t>Упаковка штакетника СБ/1200</t>
  </si>
  <si>
    <t>2 м</t>
  </si>
  <si>
    <t>Упаковка штакетника СБ/550</t>
  </si>
  <si>
    <t>Упаковка металлической вентилируемой обрешетки:</t>
  </si>
  <si>
    <t>Упаковка металлической вентилируемой обрешетки СБ/1060</t>
  </si>
  <si>
    <t>4 м</t>
  </si>
  <si>
    <t>* Продукция с цинковым покрытием не укрывается вспененным полиэтиленом (изодомом)</t>
  </si>
  <si>
    <t>** Упаковка является возвратной только фальца, произведённого в Санкт-Петербурге</t>
  </si>
  <si>
    <t>Технические характеристики профилированного листа:</t>
  </si>
  <si>
    <t>Таблица рекомендуемых цветов саморезов</t>
  </si>
  <si>
    <t>Ширина, мм</t>
  </si>
  <si>
    <t>Длина, м</t>
  </si>
  <si>
    <t>Палитра цветов покрытий 
Print, Safari и Granite® HDX, Velur 20</t>
  </si>
  <si>
    <t>Саморезы, RAL****</t>
  </si>
  <si>
    <t>общая</t>
  </si>
  <si>
    <t>полезная</t>
  </si>
  <si>
    <t>min</t>
  </si>
  <si>
    <t>max</t>
  </si>
  <si>
    <t>Cuprum steel - Медь</t>
  </si>
  <si>
    <t>8004, 8017</t>
  </si>
  <si>
    <t>Antique Dub - Античный дуб</t>
  </si>
  <si>
    <t>8017, 8019</t>
  </si>
  <si>
    <t>Golden Dub - Золотой дуб</t>
  </si>
  <si>
    <t>Corten - Кортен-сталь</t>
  </si>
  <si>
    <t>Sand Stone - Камень песчанник</t>
  </si>
  <si>
    <t>Safari Orange - Сафари Оранжевый</t>
  </si>
  <si>
    <t>Профнастил С10 Фигурный</t>
  </si>
  <si>
    <t>1,5 - 3</t>
  </si>
  <si>
    <t>Safari Brown - Сафари Браун</t>
  </si>
  <si>
    <t>Safari Blue - Сафари Синий</t>
  </si>
  <si>
    <t>Safari Pink - Сафари Розовый</t>
  </si>
  <si>
    <t>Safari Grey - Сафари Серый</t>
  </si>
  <si>
    <t>Safari Green - Сафари Зеленый</t>
  </si>
  <si>
    <t>6005, 6020</t>
  </si>
  <si>
    <t>5001 - Сине-зелёный</t>
  </si>
  <si>
    <t>Штрипс</t>
  </si>
  <si>
    <t>0,5/10</t>
  </si>
  <si>
    <t>Отмотка</t>
  </si>
  <si>
    <t>Штакетник Круглый</t>
  </si>
  <si>
    <t>Штакетник Прямоугольный</t>
  </si>
  <si>
    <t>Сайдинг Корабельная доска</t>
  </si>
  <si>
    <t>Сайдинг Вертикаль GL</t>
  </si>
  <si>
    <t>Сайдинг ЭкоБрус GL</t>
  </si>
  <si>
    <t>Сайдинг Блок-хаус GL</t>
  </si>
  <si>
    <t>Оборудование</t>
  </si>
  <si>
    <t>Наименование</t>
  </si>
  <si>
    <t>Производ.</t>
  </si>
  <si>
    <t>Станок ТАРСО МАХ 20 (листогиб)</t>
  </si>
  <si>
    <t>США</t>
  </si>
  <si>
    <t>Станок ТАРСО SuperMax (листогиб)</t>
  </si>
  <si>
    <t>Станок ТАРСО Tapco PRO-14 (листогиб)</t>
  </si>
  <si>
    <t>Россия</t>
  </si>
  <si>
    <t>Гибочный станок для изготовления штучных кровельных элементов (простых и объёмных ромбов, трапеций и гонтов) Саврос</t>
  </si>
  <si>
    <t>Саврос, Россия</t>
  </si>
  <si>
    <t>* Цены могут быть пересмотрены и изменены Поставщиком в одностороннем порядке без предварительного уведомления Покупателя</t>
  </si>
  <si>
    <t>Профессиональный инструмент</t>
  </si>
  <si>
    <t>Наименование инструмента</t>
  </si>
  <si>
    <t>Цена*, руб.</t>
  </si>
  <si>
    <t>розничная</t>
  </si>
  <si>
    <t>дилерская</t>
  </si>
  <si>
    <t>Электрические ножницы</t>
  </si>
  <si>
    <t>GrandLine</t>
  </si>
  <si>
    <t>Ножницы вырубные NC380</t>
  </si>
  <si>
    <t>Status</t>
  </si>
  <si>
    <t>Профессиональный инструмент для резки профилированной продукции</t>
  </si>
  <si>
    <t>Ножницы электрические вырубные НВ-1,2/520</t>
  </si>
  <si>
    <t>Интерскол</t>
  </si>
  <si>
    <t>Матрица для ножниц вырубных НВ-1,2/520</t>
  </si>
  <si>
    <t>Комплектующие для вырубных ножниц НВ-1,2/520</t>
  </si>
  <si>
    <t>Пуансон для ножниц вырубных НВ-1,2/520</t>
  </si>
  <si>
    <t>Комплект для ножниц NC380</t>
  </si>
  <si>
    <t>Круглый пуансон и матрица для ножниц NC380</t>
  </si>
  <si>
    <t>Комплект для ножниц NC380 (прямоуг.)</t>
  </si>
  <si>
    <t>Прямоугольный пуансон и матрица для ножниц NC380</t>
  </si>
  <si>
    <t>Пуансон круглый для ножниц вырубных NC380</t>
  </si>
  <si>
    <t>Комплектующие для вырубных ножниц NC380</t>
  </si>
  <si>
    <t>Ручные ножницы для резки металла</t>
  </si>
  <si>
    <t>Ножницы авиационные универсальные 42мм</t>
  </si>
  <si>
    <t>EDMA</t>
  </si>
  <si>
    <t>Рычажные подружиненные ножницы для резки оцинкованной стали и кровельного металла</t>
  </si>
  <si>
    <t>Ножницы авиационные универсальные 75мм</t>
  </si>
  <si>
    <t>Ножницы "Пеликаны" (кованые)</t>
  </si>
  <si>
    <t>Stubai</t>
  </si>
  <si>
    <t>Ножницы применяются для прямого раскроя плоского листа</t>
  </si>
  <si>
    <t>Ножницы "Пеликаны" (рычажные)</t>
  </si>
  <si>
    <t>Ножницы комбинированные левые</t>
  </si>
  <si>
    <t>Позволяют делать как прямые, так и криволинейные резы. Одинаково эффективно режут металл как у кромки, так и по середине листа</t>
  </si>
  <si>
    <t>Ножницы комбинированные правые</t>
  </si>
  <si>
    <t>Ножницы подрезные левые</t>
  </si>
  <si>
    <t>Рычажные подпружиненные ножницы для выкройки простых и сложных заготовок</t>
  </si>
  <si>
    <t>Ножницы подрезные правые</t>
  </si>
  <si>
    <t>Ножницы подрезные левые AV6</t>
  </si>
  <si>
    <t>Malco</t>
  </si>
  <si>
    <t>Ножницы для резки материала по кривой</t>
  </si>
  <si>
    <t>Ножницы подрезные правые AV7</t>
  </si>
  <si>
    <t>Ножницы для резки материала по кривой, ручки оснащены возвратной пружиной</t>
  </si>
  <si>
    <t xml:space="preserve">Изогнутые лезвия позволяют осуществлять криволинейные резы с минимальным радиусом. </t>
  </si>
  <si>
    <t>Ножницы фигурная модель</t>
  </si>
  <si>
    <t>Специальные ножницы, позволяющие делать как прямые, так и правые, и левые резы</t>
  </si>
  <si>
    <t>Ножницы просечные для плоского листа</t>
  </si>
  <si>
    <t>Для небольших резов в местах повышенного риска разрыва металла на конце реза</t>
  </si>
  <si>
    <t>Ножницы просечные по металлочерепице</t>
  </si>
  <si>
    <t>Обеспечивают аккуратный рез без загиба металла</t>
  </si>
  <si>
    <t>Нож сменный для просечных ножниц по металлочерепице</t>
  </si>
  <si>
    <t>Комплектующие для просечных ножниц по металлочерепице</t>
  </si>
  <si>
    <t>Кровельные рамки, ручные листогибы</t>
  </si>
  <si>
    <t>Рамка для Г-образного фальца</t>
  </si>
  <si>
    <t>RAU</t>
  </si>
  <si>
    <t>Применяется для выполняения первого прохода при закрытии Г-образного фальца</t>
  </si>
  <si>
    <t>Рамка для двойного фальца</t>
  </si>
  <si>
    <t xml:space="preserve"> RAU</t>
  </si>
  <si>
    <t>Применяется для выполнения второго прохода для окончательного формирования двойного стоячего фальца</t>
  </si>
  <si>
    <t>Рамка для подгиба карнизного свеса</t>
  </si>
  <si>
    <t>Для первой операции при формировании линии карнизного свеса, позволяет обогнуть карнизную часть картины вокруг карнизной планки</t>
  </si>
  <si>
    <t>Рамка для дозагиба карнизного свеса</t>
  </si>
  <si>
    <t xml:space="preserve">Рамка для дозагиба карнизного свеса </t>
  </si>
  <si>
    <t>Рамка для радиусных обходов</t>
  </si>
  <si>
    <t>Ручной листогиб Bender X2</t>
  </si>
  <si>
    <t>Специальный листогиб для формирования доборных элементов и фальцевых картин</t>
  </si>
  <si>
    <t>Ручной листогиб Bender 4x4 350мм</t>
  </si>
  <si>
    <t>Ручной листогиб EDGE ROLLER 25мм</t>
  </si>
  <si>
    <t xml:space="preserve">Киянки, молотки, оправки </t>
  </si>
  <si>
    <t>Киянка усеченная</t>
  </si>
  <si>
    <t>Молоток кровельный с пластиковыми наконечниками</t>
  </si>
  <si>
    <t>Молоток для формирования элементов фальцевой кровли</t>
  </si>
  <si>
    <t>Оправка-лопатка 120 мм</t>
  </si>
  <si>
    <t>Специальная оправка для формирования и закрытия замка двойного стоячего фальца. Оправка-лопата применяется при обустройстве обходов труб, карнизных свесов, ендов, коньков и торцов</t>
  </si>
  <si>
    <t xml:space="preserve">Оправка-лопатка 140 мм </t>
  </si>
  <si>
    <t>Оправка-лопата 140 мм</t>
  </si>
  <si>
    <t>Оправка-лопатка круглая 120мм</t>
  </si>
  <si>
    <t xml:space="preserve">Оправка для формирования и закрытия фальца </t>
  </si>
  <si>
    <t>Оправка полиэтиленовая с ручкой</t>
  </si>
  <si>
    <t xml:space="preserve">Зажим кровельный </t>
  </si>
  <si>
    <t>Для временного удерживания деталей из листового металла</t>
  </si>
  <si>
    <t>Пила для прорезания пазов под крюки водостока</t>
  </si>
  <si>
    <t>Предназначена для пропила углублений в стропилах для врезки крюков водосточной системы</t>
  </si>
  <si>
    <t>Шаблон для разметки на металле</t>
  </si>
  <si>
    <t>Используется для резметки линий реза на плоских листах и кровельных картинах</t>
  </si>
  <si>
    <t>Инструмент для измерения угла</t>
  </si>
  <si>
    <t>Предназначен для изменения углов и выполнения операций по разметке</t>
  </si>
  <si>
    <t xml:space="preserve">Кровельные клещи, инструмент для формирования конвертов </t>
  </si>
  <si>
    <t>Инструмент для формирования конвертов "Цапля"</t>
  </si>
  <si>
    <t>Специальный инструмент для формирования конвертов</t>
  </si>
  <si>
    <t xml:space="preserve">Инструмент для формирования конвертов "Цапля" </t>
  </si>
  <si>
    <t xml:space="preserve">Клещи для вскрытия фальца "Попугаи" накладное соед. </t>
  </si>
  <si>
    <t>Применяется при демонтаже установленных картин одинарного и двойного стоячего фальца</t>
  </si>
  <si>
    <t>Клещи прямые 80мм накладное соед.</t>
  </si>
  <si>
    <t>Специальные кровельные клещи для формирования узлов на фальцевой кровле</t>
  </si>
  <si>
    <t>Клещи прямые 100мм накладное соед.</t>
  </si>
  <si>
    <t>Клещи прямые угловые 60мм накладное соед.</t>
  </si>
  <si>
    <t>Специальные клещи для обжима угловых соединений, при обустройстве примыкания к стене, обходе труб</t>
  </si>
  <si>
    <t>Клещи 45 град 60мм накладное соед.</t>
  </si>
  <si>
    <t>Клещи 45 град 40мм сквозное соед.</t>
  </si>
  <si>
    <t>Кровельные клещи под углом 45 градусов для формирования узлов на фальцевой кровле</t>
  </si>
  <si>
    <t>Клещи 45 град 20мм накладное соед.</t>
  </si>
  <si>
    <t>Для тонких операций при обустройстве узлов фальца</t>
  </si>
  <si>
    <t>Клещи 90 град 60мм накладное соед.</t>
  </si>
  <si>
    <t>Служат для формирования элементов примыкания на фальцевой кровле</t>
  </si>
  <si>
    <t>Клещи большие прямые скошенные 180мм сквозное соед.</t>
  </si>
  <si>
    <t>Служат для формирования узлов фальцевой кровли</t>
  </si>
  <si>
    <t>Клещи большие прямые 180мм накладное соед.</t>
  </si>
  <si>
    <t xml:space="preserve">Клещи большие прямые 180мм сквозное соед. </t>
  </si>
  <si>
    <t>Клещи большие 30 град 180мм сквозное соед.</t>
  </si>
  <si>
    <t>Данный вид клещей позволяет сформировать узел "конверт", используемый при обхеде труб</t>
  </si>
  <si>
    <t>Клещи для конвертов накладное соед.</t>
  </si>
  <si>
    <t>Используются для формирования конвертов в связке с клещами для конвертов</t>
  </si>
  <si>
    <t>Круглогубцы 65мм сквозное соед.</t>
  </si>
  <si>
    <t>Специальный инструмент для работы с плосским листом</t>
  </si>
  <si>
    <t>Щипцы для формирования конвертов малые</t>
  </si>
  <si>
    <t>Для сайдинга</t>
  </si>
  <si>
    <t>Пробойник насечек SL5</t>
  </si>
  <si>
    <t>ПВХ</t>
  </si>
  <si>
    <t>Для нанесения насечек на край панели в месте соединения с доборными элементами (финишная планка и пр.)</t>
  </si>
  <si>
    <t>Просекатель отверстий NHP1R</t>
  </si>
  <si>
    <t>Просекатель овальных отверстий в виниловых панелях</t>
  </si>
  <si>
    <t>Просекатель овальных отверстий 3,5х15мм</t>
  </si>
  <si>
    <t xml:space="preserve">Пуансон для просекателя отверстий 3,5х15мм </t>
  </si>
  <si>
    <t>Комплектующие для просекателя</t>
  </si>
  <si>
    <t>Инструмент для демонтажа сайдинга SRT2</t>
  </si>
  <si>
    <t>Предназначен для демонтажа панелей винилового сайдинга без повреждения</t>
  </si>
  <si>
    <t>Для комп. чер. и мет. сайдинга</t>
  </si>
  <si>
    <t>Мультифункциональный резак IVT MPC-135</t>
  </si>
  <si>
    <t>IVT</t>
  </si>
  <si>
    <t>Для водостока</t>
  </si>
  <si>
    <t>Удобный инструмент для обжатия труб водосточной системы для их последующей стыковки между собой</t>
  </si>
  <si>
    <t>Клещи "Гофра" угловые</t>
  </si>
  <si>
    <t>Инструмент для загиба крюков 810мм</t>
  </si>
  <si>
    <t>Профессиональный инструмент для высокоточной и быстрой гибки крюков водосточной системы</t>
  </si>
  <si>
    <t>Профессиональный инструмент для соединения профилей без заклепок</t>
  </si>
  <si>
    <t>Дальномер лазерный ADA Robot 40</t>
  </si>
  <si>
    <t>ADA</t>
  </si>
  <si>
    <t>Дальномер лазерный Leica Disto D210</t>
  </si>
  <si>
    <t>Leica</t>
  </si>
  <si>
    <t>Колесо измерительное ADA Wheel 100</t>
  </si>
  <si>
    <t>Ограждения</t>
  </si>
  <si>
    <t>Предназначен для измерения расстояний, в том числе и по неровной поверхности</t>
  </si>
  <si>
    <t xml:space="preserve">Универсальный раздвижной штатив, на винтах. </t>
  </si>
  <si>
    <t>Проградуированная рейка для измерения разности в уровнях с помощью нивелира. Длина 3м/5м</t>
  </si>
  <si>
    <t>Противоударный пузырьковый строительный уровень для работы на стройплощадке</t>
  </si>
  <si>
    <t>Для разметки элементов металлической кровли</t>
  </si>
  <si>
    <t>Уровень электронный ADA Pro-Digit MICRO</t>
  </si>
  <si>
    <t>Для работы с ограждениями</t>
  </si>
  <si>
    <t>Бензобур ADA GroundDrill-2 в комплекте со шнеком Drill 150</t>
  </si>
  <si>
    <t>Для работы одного оператора и неглубокого бурения, двигатель 2,45 л.с., можно установить удлинитель к шнеку.</t>
  </si>
  <si>
    <t>Бензобур ADA GroundDrill-5 в комплекте со шнеком Drill 200</t>
  </si>
  <si>
    <t>Для работы двух операторов, двиг. 2,45 л.с., усиленный редуктор, можно установить удлинитель к шнеку.</t>
  </si>
  <si>
    <t>Бензобур ADA GroundDrill-7 в комплекте со шнеком Drill 250</t>
  </si>
  <si>
    <t>Более мощный двиг. 3,26 л.с., для работы двух операторов,большая глубина бурения,можно установить удлинитель к шнеку</t>
  </si>
  <si>
    <t>Бензобур ADA GroundDrill-9 в комплекте со шнеком Drill 250</t>
  </si>
  <si>
    <t>Удлинитель шнека для бензобура ADA Extension 500мм</t>
  </si>
  <si>
    <t>Длина 50 см, для увеличение глубины бурения</t>
  </si>
  <si>
    <t>Удлинитель шнека для бензобура ADA Extension 1000мм</t>
  </si>
  <si>
    <t>Длина 100 см, для увеличение глубины бурения</t>
  </si>
  <si>
    <t>Шнек Drill-150/800</t>
  </si>
  <si>
    <t>Диаметр 150 мм, длина 800 мм</t>
  </si>
  <si>
    <t>Шнек Drill-250/800</t>
  </si>
  <si>
    <t>Диаметр 250 мм, длина 800 мм</t>
  </si>
  <si>
    <t>Шнек Drill-200/1000</t>
  </si>
  <si>
    <t>Диаметр 200 мм, длина 1000 мм</t>
  </si>
  <si>
    <t>Шнек Drill-300/1000</t>
  </si>
  <si>
    <t>Диаметр 300 мм, длина 1000 мм</t>
  </si>
  <si>
    <t>Шнек Frozen Drill 150/800</t>
  </si>
  <si>
    <t>Для бурения скважин в мерзлом или каменистом грунте, диаметр 150/200 мм, длина 800 мм</t>
  </si>
  <si>
    <t>Шнек Frozen Drill 200/800</t>
  </si>
  <si>
    <t>Инструмент для выравнивания сетчатых ограждений Dress Fil</t>
  </si>
  <si>
    <t>Регулирует натяжение сетчатых ограждений путем сгибания проволоки</t>
  </si>
  <si>
    <t>Клипсатор (стыковка панельных ограждений)</t>
  </si>
  <si>
    <t>Wisniowski</t>
  </si>
  <si>
    <t>Используется для обжима соединительных клипс при стыковке панельных ограждений</t>
  </si>
  <si>
    <t>Вспомогательный инструмент</t>
  </si>
  <si>
    <t>Степлер для скоб 4-14х0,7мм</t>
  </si>
  <si>
    <t>Stelgrit</t>
  </si>
  <si>
    <t>Для крепления различного вида пленок гидро- и пароизоляции к деревянной обрешетке</t>
  </si>
  <si>
    <t>Скобы для степлера 10х0,7мм,12х0,7мм,14х0,7мм (53 Тип) </t>
  </si>
  <si>
    <t>Используются в комплекте со степлером для крепления  различного вида обивочных материалов</t>
  </si>
  <si>
    <t>100/100/110</t>
  </si>
  <si>
    <t>90/90/99</t>
  </si>
  <si>
    <t xml:space="preserve">Для заворачивания и отворачивания крепежа в дрелях, шуруповертах и отвертках со сменными насадками </t>
  </si>
  <si>
    <t>Заклепочник 2,4-4,8мм</t>
  </si>
  <si>
    <t>Для соединения изделий из листовой стали с помощью алюминиевых или стальных заклепок</t>
  </si>
  <si>
    <t>Шуруповерт Sparky BR2 10.8 Li</t>
  </si>
  <si>
    <t>Sparky</t>
  </si>
  <si>
    <t>Компактный шуруповерт с высококачественным Li-Ion аккумулятором</t>
  </si>
  <si>
    <t>Пистолет для герметика Caulker</t>
  </si>
  <si>
    <t>Blast</t>
  </si>
  <si>
    <t>Для герметика в картридже</t>
  </si>
  <si>
    <t>Толщина просверливаемого металла, мм</t>
  </si>
  <si>
    <t>Гидро-Пароизоляция Optima</t>
  </si>
  <si>
    <t>рулон</t>
  </si>
  <si>
    <t>Cаморезы с прессшайбой острая 4,2х16 (1000 шт.) RAL</t>
  </si>
  <si>
    <t>Cаморезы с прессшайбой острая 4,2х19 (1000 шт.) RAL</t>
  </si>
  <si>
    <t>ролик</t>
  </si>
  <si>
    <t>Cаморезы с прессшайбой острая 4,2х25 (500 шт.) RAL</t>
  </si>
  <si>
    <t>Cаморезы с прессшайбой сверло 4,2х16 (1000 шт.) RAL</t>
  </si>
  <si>
    <t>Cаморезы с прессшайбой сверло 4,2х19 (1000 шт.) RAL</t>
  </si>
  <si>
    <t>Cаморезы с прессшайбой сверло 4,2х25 (500 шт.) RAL</t>
  </si>
  <si>
    <t>Cаморезы с прессшайбой острая 4,2х16 (1000 шт.) цинк</t>
  </si>
  <si>
    <t>Cаморезы с прессшайбой острая 4,2х19 (800 шт.) цинк</t>
  </si>
  <si>
    <t>Cаморезы с прессшайбой острая 4,2х25 (800 шт.) цинк</t>
  </si>
  <si>
    <t>Cаморезы с прессшайбой сверло 4,2х16 (1000 шт.) цинк</t>
  </si>
  <si>
    <t>Cаморезы с прессшайбой сверло 4,2х19 (800 шт.) цинк</t>
  </si>
  <si>
    <t>Cаморезы с прессшайбой сверло 4,2х25 (800 шт.) цинк</t>
  </si>
  <si>
    <t>Гидроизоляция примыканий</t>
  </si>
  <si>
    <t>Cаморез универсальный острая 3,5х20 (1000 шт.) цинк</t>
  </si>
  <si>
    <t>Лента для примыкания гофр. алюм. (0,3x5 м)</t>
  </si>
  <si>
    <t>Cаморез универсальный острая 3,5х20 (1500 шт.) цинк</t>
  </si>
  <si>
    <t>Заклепка вытяжная 4,0х10 (1000 шт.)* RAL</t>
  </si>
  <si>
    <t>Заклепка вытяжная 3,2х8 (1000 шт.) RAL</t>
  </si>
  <si>
    <t>Уплотнитель</t>
  </si>
  <si>
    <t>Уплотнитель профильный для м/ч "Classic/Modern" (1м)</t>
  </si>
  <si>
    <t>Уплотнитель профильный для м/ч "Кантри" (1,12м)</t>
  </si>
  <si>
    <t>Уплотнитель клиновидный 30х50 (1м)</t>
  </si>
  <si>
    <t>Уплотнитель универсальный 30х40 (2м)</t>
  </si>
  <si>
    <t>Уплотнитель универсальный с клеевым слоем 30х40 (2м)</t>
  </si>
  <si>
    <t>Уплотнитель универсальный с клеевым слоем 30х50 (2м)</t>
  </si>
  <si>
    <t>Уплотнитель универсальный 30х50 (2м)</t>
  </si>
  <si>
    <t>Уплотнитель саморасширяющийся самоклеящийся 15х40 (4м)</t>
  </si>
  <si>
    <t>Герметик Tytan бесцветный (310 мл.)</t>
  </si>
  <si>
    <t>Уплотнитель саморасширяющийся самоклеящийся 20х40 (4м)</t>
  </si>
  <si>
    <t>Уплотнитель профильный (коньковый, обратный) для профнастилов GL 20 (1,1м)</t>
  </si>
  <si>
    <t>Ковер подкладочный Fel*Х (40 м.кв.)</t>
  </si>
  <si>
    <t>Уплотнитель профильный (коньковый, обратный) для профнастилов GL 21 (1 м)</t>
  </si>
  <si>
    <t>Защитные козырьки Krovent</t>
  </si>
  <si>
    <t>Уплотнитель профильный (коньковый, обратный) для профнастилов GL 35 (1 м)</t>
  </si>
  <si>
    <t>Защитный козырёк Krovent 1200х930х280 мм</t>
  </si>
  <si>
    <t>Уплотнитель профильный (коньковый, обратный) для профнастилов GL 60 (0,845 м)</t>
  </si>
  <si>
    <t>Защитный козырёк Krovent 1500х930х280 мм</t>
  </si>
  <si>
    <t>Уплотнитель профильный (коньковый, обратный) для профнастилов GL 75 (0,75 м)</t>
  </si>
  <si>
    <t>Кляммер кровельный</t>
  </si>
  <si>
    <t>NICOBAND самоклеящаяся герметизирующая лента (10смх10м)</t>
  </si>
  <si>
    <t>Кляммер кровельный неподвижный нерж. 25мм</t>
  </si>
  <si>
    <t>Кляммер кровельный скользящий нерж. 25мм</t>
  </si>
  <si>
    <t>Комплекты для ремонта</t>
  </si>
  <si>
    <t>Краска аэрозоль (баллон 400 мл)</t>
  </si>
  <si>
    <t>Аэроэлементы</t>
  </si>
  <si>
    <t>* - на складе не поддерживается, на заказ</t>
  </si>
  <si>
    <t>** - на складе до окончания остатков</t>
  </si>
  <si>
    <t>Саморезы 4,8 (29,35,50,70)</t>
  </si>
  <si>
    <t>Саморезы 5,5 (19,25,32); 4,8 (19)</t>
  </si>
  <si>
    <t>Гидро-Пароизоляция Folder/Скотч</t>
  </si>
  <si>
    <t>Cаморезы ПШ острая/сверло 4,2 (16,19,25); универсальный острая 3,5х20; Заклепка вытяжная 3,2х8</t>
  </si>
  <si>
    <t>Гидро-Пароизоляция TYVEK/AirGuard</t>
  </si>
  <si>
    <t>Гидро-Пароизоляция Delta</t>
  </si>
  <si>
    <t>Краска аэрозоль</t>
  </si>
  <si>
    <t>Герметик Tytan бесцветный</t>
  </si>
  <si>
    <t>Ковёр подкладочный</t>
  </si>
  <si>
    <t>Герметизирующая лента NICOBAND</t>
  </si>
  <si>
    <t>Проходные элементы кровли Master Flash</t>
  </si>
  <si>
    <t>Диаметр, мм.</t>
  </si>
  <si>
    <t>Допустимые углы наклона кровли, °</t>
  </si>
  <si>
    <t>от 6 до 50</t>
  </si>
  <si>
    <t>от 0 до 20</t>
  </si>
  <si>
    <t>от 45 до 75</t>
  </si>
  <si>
    <t>от 6 до 102</t>
  </si>
  <si>
    <t>от 102 до 178</t>
  </si>
  <si>
    <t>от 152 до 280</t>
  </si>
  <si>
    <t xml:space="preserve">Проходной элемент комби №4 </t>
  </si>
  <si>
    <t>от 75 до 160</t>
  </si>
  <si>
    <t>от 0 до 45</t>
  </si>
  <si>
    <t>от 127 до 228</t>
  </si>
  <si>
    <t>от 178 до 330</t>
  </si>
  <si>
    <t>от 254 до 502</t>
  </si>
  <si>
    <t>Проходной элемент угловой №1</t>
  </si>
  <si>
    <t>от 75 до 200</t>
  </si>
  <si>
    <t>от 10 до 30</t>
  </si>
  <si>
    <t>Проходной элемент угловой №2</t>
  </si>
  <si>
    <t>от 203 до 280</t>
  </si>
  <si>
    <t>Проходной элемент угловой №3</t>
  </si>
  <si>
    <t>от 280 до 460</t>
  </si>
  <si>
    <t>Проходной элемент профи №1</t>
  </si>
  <si>
    <t>Проходной элемент профи №2 (под м/ч)</t>
  </si>
  <si>
    <t xml:space="preserve">Проходной элемент комби №8 </t>
  </si>
  <si>
    <t>от 175 до 330</t>
  </si>
  <si>
    <t>Проходной элемент комби №10</t>
  </si>
  <si>
    <t>от 380 до 760</t>
  </si>
  <si>
    <t>Проходной элемент комби №11</t>
  </si>
  <si>
    <t>от 500 до 1000</t>
  </si>
  <si>
    <t>от 0 до 50</t>
  </si>
  <si>
    <t>Ультраугол №2</t>
  </si>
  <si>
    <t>от 125 до 280</t>
  </si>
  <si>
    <t>от 20 до 55</t>
  </si>
  <si>
    <t>Проходной элемент профи №2</t>
  </si>
  <si>
    <t>Проходной элемент прямой №8</t>
  </si>
  <si>
    <t>Проходной элемент прямой №9</t>
  </si>
  <si>
    <t>от 500до 1000</t>
  </si>
  <si>
    <t>Проходной элемент ультраугловой №2</t>
  </si>
  <si>
    <t>от 160 до 280</t>
  </si>
  <si>
    <t>Элементы безопасности кровли Grand Line®</t>
  </si>
  <si>
    <t>Изображение</t>
  </si>
  <si>
    <t>Комплект</t>
  </si>
  <si>
    <t>Вес комп., кг</t>
  </si>
  <si>
    <t>Снегозадержатель универсальный Grand Line 
3 м</t>
  </si>
  <si>
    <t>Снегозадержатель универсальный Grand Line 
1 м</t>
  </si>
  <si>
    <t>Кронштейн универсальный Grand Line</t>
  </si>
  <si>
    <t>Пластина кронштейна для фальцевой кровли Grand Line</t>
  </si>
  <si>
    <t>Крепление кронштейна для фальцевой кровли</t>
  </si>
  <si>
    <t>Лестница стеновая 
3 м 
в комплекте с крепежом*</t>
  </si>
  <si>
    <t>Цвета снегозадержателей, кронштейнов и пластин для фальцевой кровли, доступные для заказа, уточняйте у вашего менеджера.</t>
  </si>
  <si>
    <t>Все цены указаны с НДС на складе завода Grand Line Ворсино (70 км от МКАД по Киевскому ш. )</t>
  </si>
  <si>
    <t>Элементы безопасности кровли Optima</t>
  </si>
  <si>
    <t>Вес комплекта, 
кг</t>
  </si>
  <si>
    <t>Снегозадержатель трубчатый универсальный Optima 
3 м</t>
  </si>
  <si>
    <t xml:space="preserve">Снегозадержатель трубчатый для фальцевой кровли Optima 
3 м
(Внимание! Только для левого загиба фальцевого шва)
</t>
  </si>
  <si>
    <r>
      <t xml:space="preserve">Труба для снегозадержателя универсального 
Optima RAL d-25 3 м  - 2 шт 
Кронштейн снегозадержателя универсальный Zn//RAL - 3 шт
</t>
    </r>
    <r>
      <rPr>
        <u/>
        <sz val="40"/>
        <color indexed="8"/>
        <rFont val="Arial"/>
        <family val="2"/>
        <charset val="204"/>
      </rPr>
      <t>(рекомендуем приобретать дополнительный кронштейн)</t>
    </r>
    <r>
      <rPr>
        <sz val="40"/>
        <color indexed="8"/>
        <rFont val="Arial"/>
        <family val="2"/>
        <charset val="204"/>
      </rPr>
      <t xml:space="preserve">
Заглушка D 25 - 4 шт
Скоба кронштейна для фальцевой кровли  RAL - 2 шт
Болт М8х20 - 2 шт
Шайба А.8 - 2 шт
Гайка М8-7Н - 2 шт  </t>
    </r>
  </si>
  <si>
    <t>Снегозадержатель трубчатый универсальный Optima 
1 м</t>
  </si>
  <si>
    <t>Снегозадержатель трубчатый для фальцевой кровли Optima 
1 м
(Внимание! Только для левого загиба фальцевого шва)</t>
  </si>
  <si>
    <t>Кронштейн снегозадержателя универсальный Optima</t>
  </si>
  <si>
    <t>Уплотнитель ЭПДМ</t>
  </si>
  <si>
    <t>Резиновый уплотнитель ЭПДМ - 1 шт</t>
  </si>
  <si>
    <t>Кровельное ограждение 
под фальц 720 (2 м)*</t>
  </si>
  <si>
    <t>Полотно лестницы 1,92 м</t>
  </si>
  <si>
    <t>Полотно лестницы - 1 шт
Пластина - 2 шт
Болт М8х20 - 2 шт
Гайка М8-6Н - 2 шт
Шайба А.8 - 2 шт</t>
  </si>
  <si>
    <t>Кронштейн стеновой</t>
  </si>
  <si>
    <t>Кронштейн стеновой -1 шт
Т-кронштейн - 1 шт
Болт М8х20 -4 шт
Гайка М8-6Н - 4 шт
Шайба А.8 - 4 шт</t>
  </si>
  <si>
    <t>Кронштейн кровельный</t>
  </si>
  <si>
    <t>Кронштейн кровельный - 1 шт
Саморез 6,3х150 DIN 7504 - 1 шт
Резтновый уплотнитель ЭПДМ - 1 шт</t>
  </si>
  <si>
    <t>Кронштейн карнизный</t>
  </si>
  <si>
    <t>Кронштейн карнизный - 1 шт
Болт М8х20 - 1 шт                                                                                                              Гайка М8-6Н - 1 шт                                                                                                                         Шайба А.8 - 1 шт</t>
  </si>
  <si>
    <t>Кронштейн коньковый</t>
  </si>
  <si>
    <t>Кронштейн коньковый - 1 шт
Болт М8х20 - 1 шт                                                                                                              Гайка М8-6Н - 1 шт                                                                                                                         Шайба А.8 - 1 шт</t>
  </si>
  <si>
    <t>Поручень</t>
  </si>
  <si>
    <t>Поручень -1 шт
П-кронштейн - 1 шт
Болт М8х20 -4 шт                             Гайка М8-6Н - 4 шт                   Шайба А.8 - 4 шт</t>
  </si>
  <si>
    <t>Лестница кровельная на фальц с креплением (дл. 1920 мм)**</t>
  </si>
  <si>
    <t>Цвета кровельных ограждений 650 Optima на складе: RAL 3005, 6005, 8017.</t>
  </si>
  <si>
    <t>Стандартные цвета кровельных ограждений под фальц, кров.мостиков, кров.и стеновых лестниц, кронштейнов, поручней Optima: 1014,3003,3005,3009,3011,5002,5005,5009,5021,5024,6002,6005,6020,</t>
  </si>
  <si>
    <t>7004,7005,7016,7024,8004,8017,8019,9002,9005,9006,9016.</t>
  </si>
  <si>
    <t>К лестнице кровельной применяются кронштейны кровельные и коньковые.</t>
  </si>
  <si>
    <t>* - под заказ! Возможное изготовление кров. ограждения высотой 0,72 м; 0,9 м; 1,2 м.</t>
  </si>
  <si>
    <t>** - под заказ!</t>
  </si>
  <si>
    <t>Кровельные мостики</t>
  </si>
  <si>
    <t>Лестницы</t>
  </si>
  <si>
    <t>Водосточные системы Grand Line®</t>
  </si>
  <si>
    <t>Название элемента</t>
  </si>
  <si>
    <t>Рекомендуемая розничная цена, руб.</t>
  </si>
  <si>
    <t>125*90 мм
Aluzinc</t>
  </si>
  <si>
    <t>125*90 мм
Granite</t>
  </si>
  <si>
    <t>150*100 мм
Granite</t>
  </si>
  <si>
    <t>Полукруглый желоб,  3м</t>
  </si>
  <si>
    <t>Соединитель желоба</t>
  </si>
  <si>
    <t>Заглушка желоба</t>
  </si>
  <si>
    <t>Угол желоба, внут, внеш, 90º</t>
  </si>
  <si>
    <t>Угол желоба, внут, внеш, 135º</t>
  </si>
  <si>
    <t>Воронка желоба</t>
  </si>
  <si>
    <t>Воронка водосборная</t>
  </si>
  <si>
    <t>Крюк длинный</t>
  </si>
  <si>
    <t>Крюк короткий</t>
  </si>
  <si>
    <t>Крюк длинный полоса</t>
  </si>
  <si>
    <t>Крюк короткий полоса</t>
  </si>
  <si>
    <t>Тройник трубы</t>
  </si>
  <si>
    <t>Круглая труба, 3м</t>
  </si>
  <si>
    <t>Круглая труба соединительная 1м</t>
  </si>
  <si>
    <t>Колено трубы, 60º</t>
  </si>
  <si>
    <t>Колено стока</t>
  </si>
  <si>
    <t>Кронштейн трубы  на кирпич</t>
  </si>
  <si>
    <t>Кронштейн трубы  на дерево</t>
  </si>
  <si>
    <t xml:space="preserve">Соединитель трубы </t>
  </si>
  <si>
    <t>Защелка для кронштейна</t>
  </si>
  <si>
    <t>Резиновый уплотнитель</t>
  </si>
  <si>
    <t>25 лет</t>
  </si>
  <si>
    <t>Стенд "Водостока GL" (150/100 или 125/90)</t>
  </si>
  <si>
    <t>Инструмент для загиба крюков 810 мм</t>
  </si>
  <si>
    <t xml:space="preserve">Водосток с полимерным покрытием представлен в следующих цветах: </t>
  </si>
  <si>
    <t>125*90 мм 
Aluzinc</t>
  </si>
  <si>
    <t>125*90 мм 
Granite</t>
  </si>
  <si>
    <t>150*100 мм 
Granite</t>
  </si>
  <si>
    <t>Водосточная система Optima</t>
  </si>
  <si>
    <t xml:space="preserve"> Наименование</t>
  </si>
  <si>
    <t>Прямоугольный желоб,  3м</t>
  </si>
  <si>
    <t>Заглушка желоба, левая, правая</t>
  </si>
  <si>
    <t>Угол желоба внутренний, 90 градусов</t>
  </si>
  <si>
    <t>Угол желоба внешний, 90 градусов</t>
  </si>
  <si>
    <t>Воронка врезная</t>
  </si>
  <si>
    <t xml:space="preserve">Крюк длинный </t>
  </si>
  <si>
    <t>Крюк скрытого крепления*</t>
  </si>
  <si>
    <t>Прямоугольная труба, 3м</t>
  </si>
  <si>
    <t>Прямоугольная труба, 3м с коленом</t>
  </si>
  <si>
    <t xml:space="preserve">Прямоугольная труба, 1м </t>
  </si>
  <si>
    <t>Прямоугольная труба, 1м с коленом</t>
  </si>
  <si>
    <t>Колено трубы гофрированное</t>
  </si>
  <si>
    <t>Кронштейн трубы на кирпич</t>
  </si>
  <si>
    <t>Кронштейн трубы на дерево</t>
  </si>
  <si>
    <t xml:space="preserve">Водосточная система OPTIMA изготовлена из оцинкованной стали с полимерным покрытием Полиэстер.                                                                                                                                                          </t>
  </si>
  <si>
    <t>* - Крюк скрытого крепления изготавливается в цинке</t>
  </si>
  <si>
    <t>OPTIMA</t>
  </si>
  <si>
    <t>Виниловый сайдинг GL AMERIKA</t>
  </si>
  <si>
    <t>Рисунок</t>
  </si>
  <si>
    <t>Ширина, м</t>
  </si>
  <si>
    <t>Кол-во шт. в упаковке</t>
  </si>
  <si>
    <t>Цвет</t>
  </si>
  <si>
    <t>Цена розница руб.</t>
  </si>
  <si>
    <t>Полезная</t>
  </si>
  <si>
    <t>м2</t>
  </si>
  <si>
    <t>коричневый</t>
  </si>
  <si>
    <t>Сайдинг-панель D4,4 GL Amerika</t>
  </si>
  <si>
    <t>бежевый, ванильный, желтый, персиковый, салатовый, серый, белый, сандаловый, кремовый, голубой</t>
  </si>
  <si>
    <t>Н-профиль соединительный</t>
  </si>
  <si>
    <t>J-профиль</t>
  </si>
  <si>
    <t>Сайдинг-панель D4 GL Amerika</t>
  </si>
  <si>
    <t>бежевый, ванильный, желтый, персиковый, салатовый, серый, белый, кремовый, голубой</t>
  </si>
  <si>
    <t>Финишная планка</t>
  </si>
  <si>
    <t>Стартовая планка</t>
  </si>
  <si>
    <t>Сайдинг-панель 
Блок-хаус D4,8 GL Amerika</t>
  </si>
  <si>
    <t>бежевый, ванильный</t>
  </si>
  <si>
    <t>Угол наружный</t>
  </si>
  <si>
    <t>Угол внутренний</t>
  </si>
  <si>
    <t>Сайдинг-панель вертикальный S6,3 GL Amerika</t>
  </si>
  <si>
    <t>белый, бежевый, ванильный, салатовый</t>
  </si>
  <si>
    <t>Переходник вертикального сайдинга</t>
  </si>
  <si>
    <t>Софиты</t>
  </si>
  <si>
    <t>J-фаска (ветровая доска)</t>
  </si>
  <si>
    <t>Софит T4 GL Amerika
(гладкий, перф-ный)</t>
  </si>
  <si>
    <t>белый</t>
  </si>
  <si>
    <t>Софит T4 GL Amerika 
(гладкий, перф-ный)</t>
  </si>
  <si>
    <t>J-профиль широкий (наличник)</t>
  </si>
  <si>
    <t>Софит T3 GL Amerika (гладкий, перф-ный)</t>
  </si>
  <si>
    <t>Околооконная планка</t>
  </si>
  <si>
    <t>Молдинг</t>
  </si>
  <si>
    <t xml:space="preserve">Просекатель отверстий NHP1R </t>
  </si>
  <si>
    <t>Сливная планка</t>
  </si>
  <si>
    <t>Планка (наличник) наборная для составного угла 3,0</t>
  </si>
  <si>
    <t>Используется для нанесения насечек на край панели в месте соединения с доборными элементами (финишная планка, околооконная планка)</t>
  </si>
  <si>
    <t>Планка радиусная для составного угла 3,0</t>
  </si>
  <si>
    <t>Сайдинг-панель 
D4,4 GL Amerika</t>
  </si>
  <si>
    <t>Сайдинг-панель 
D4 GL Amerika</t>
  </si>
  <si>
    <t>Сайдинг-панель "Вертикальный" S6,3 GL Amerika</t>
  </si>
  <si>
    <t>Софиты T4 GL Amerika</t>
  </si>
  <si>
    <t>Софиты T3 GL Amerika</t>
  </si>
  <si>
    <t>Доборные элементы</t>
  </si>
  <si>
    <t>Софиты Estetic GL Amerika</t>
  </si>
  <si>
    <t>Декоративные элементы Техоснастка</t>
  </si>
  <si>
    <t>цены действительны с 04.06.2015</t>
  </si>
  <si>
    <t>Вентиляционные элементы</t>
  </si>
  <si>
    <t>Вентиляционная решетка восьмиугольная 550мм Техоснастка</t>
  </si>
  <si>
    <t>Декоративные элементы Mid-America</t>
  </si>
  <si>
    <t>цены действительны с 15.05.2015</t>
  </si>
  <si>
    <t xml:space="preserve">Окно вентиляционное восьмиугольное 457 мм </t>
  </si>
  <si>
    <t>под покраску</t>
  </si>
  <si>
    <t>Окно вентиляционное восьмиугольное 559 мм</t>
  </si>
  <si>
    <t>Окно вентиляционное круглое 457 мм</t>
  </si>
  <si>
    <t>Окно вентиляционное круглое 559 мм</t>
  </si>
  <si>
    <t>Отдушина вентиляционная с фиксированными жалюзи</t>
  </si>
  <si>
    <t xml:space="preserve">Отдушина вентиляционная с алюминиевой трубой 152 мм </t>
  </si>
  <si>
    <t>Отдушина вентиляционная с обратным клапаном 102 мм</t>
  </si>
  <si>
    <t>Ставни, пилястры и наличники</t>
  </si>
  <si>
    <t>Ставни жалюзные 305х1219 мм</t>
  </si>
  <si>
    <t>комплект</t>
  </si>
  <si>
    <t>Ставни жалюзные 305х1397 мм</t>
  </si>
  <si>
    <t>Ставни жалюзные 305х1524 мм</t>
  </si>
  <si>
    <t>Ставни жалюзные 368х1321 мм</t>
  </si>
  <si>
    <t>Ставни жалюзные 368х1524 мм</t>
  </si>
  <si>
    <t>Ставни филенчатые 305х1397 мм</t>
  </si>
  <si>
    <t>Ставни филенчатые 305х1499 мм</t>
  </si>
  <si>
    <t>Наличник гладкий высота 152х1667мм</t>
  </si>
  <si>
    <t>Наличник гладкий высота 152х1108 мм</t>
  </si>
  <si>
    <t>Перегородка задняя с J-пазом для наличника 152х1108 мм</t>
  </si>
  <si>
    <t>Перегородка задняя с J-пазом для наличника 152х1667 мм</t>
  </si>
  <si>
    <t>Пилястры дверные</t>
  </si>
  <si>
    <t>Панель задняя с J-пазом для пилястр</t>
  </si>
  <si>
    <t>Монтажные блоки</t>
  </si>
  <si>
    <t>Блок мини монтажный 114х160 мм</t>
  </si>
  <si>
    <t>Блок мини монтажный раздельный127х172 мм</t>
  </si>
  <si>
    <t>Блок оригинальный монтажный 178х203 мм</t>
  </si>
  <si>
    <t>Блок монтажный раздельный 137х152 мм</t>
  </si>
  <si>
    <t>Блок монтажный суперкрупный 203х305 мм</t>
  </si>
  <si>
    <t>Виниловый водосток Rohrfit</t>
  </si>
  <si>
    <t>Рекомендованная розничная цена, руб.</t>
  </si>
  <si>
    <t>Водосточный желоб Ø120 3м</t>
  </si>
  <si>
    <t>Белый</t>
  </si>
  <si>
    <t xml:space="preserve"> Коричневый</t>
  </si>
  <si>
    <t>Соединитель желобов Ø120</t>
  </si>
  <si>
    <t>Угол желоба 90°</t>
  </si>
  <si>
    <t>Угол желоба универсальный</t>
  </si>
  <si>
    <t>Воронка желоба Ø80</t>
  </si>
  <si>
    <t>Заглушка желоба универсальная</t>
  </si>
  <si>
    <t>Кронштейн желоба</t>
  </si>
  <si>
    <t>Удлинитель кронштейна желоба Rohrfit металлический</t>
  </si>
  <si>
    <t>Металлический</t>
  </si>
  <si>
    <t>Труба водосточная Ø80 3м</t>
  </si>
  <si>
    <t>Колено трубы Ø80</t>
  </si>
  <si>
    <t>Сливное колено Ø80</t>
  </si>
  <si>
    <t>Соединитель труб Ø80</t>
  </si>
  <si>
    <t>Хомут трубы Ø80</t>
  </si>
  <si>
    <t>Наименование/рисунок</t>
  </si>
  <si>
    <t>Цвета</t>
  </si>
  <si>
    <t>Упаковка
ДхШхВ</t>
  </si>
  <si>
    <t>Кол-во
шт./уп.</t>
  </si>
  <si>
    <t>Розничная
цена руб.</t>
  </si>
  <si>
    <t>Панель фасадная Wandstein</t>
  </si>
  <si>
    <t>Аксессуары Wandstein</t>
  </si>
  <si>
    <t>Панель фасадная WANDSTEIN "Скол"</t>
  </si>
  <si>
    <t>800х600х260</t>
  </si>
  <si>
    <t>80см х 60см,
S=0,48м²</t>
  </si>
  <si>
    <t>J-профиль Wandstein</t>
  </si>
  <si>
    <t>Серый</t>
  </si>
  <si>
    <t>2420х275х140</t>
  </si>
  <si>
    <t>Длина 2.4 м</t>
  </si>
  <si>
    <t>Светло-бежевый</t>
  </si>
  <si>
    <t>Бежевый</t>
  </si>
  <si>
    <t>Светло-коричневый</t>
  </si>
  <si>
    <t>Коричневый</t>
  </si>
  <si>
    <t>Темно-коричневый</t>
  </si>
  <si>
    <t>Отлив Wandstein</t>
  </si>
  <si>
    <t>Панель фасадная WANDSTEIN "Туф"</t>
  </si>
  <si>
    <t>Стартовая планка WANDSTEIN белый</t>
  </si>
  <si>
    <t>2420х115х70</t>
  </si>
  <si>
    <r>
      <t xml:space="preserve">Элемент крепёжный "Лягушка"  </t>
    </r>
    <r>
      <rPr>
        <b/>
        <sz val="14"/>
        <color rgb="FFFF0000"/>
        <rFont val="Arial Cyr"/>
        <charset val="204"/>
      </rPr>
      <t xml:space="preserve">* </t>
    </r>
    <r>
      <rPr>
        <b/>
        <sz val="14"/>
        <rFont val="Arial Cyr"/>
        <charset val="204"/>
      </rPr>
      <t>WANDSTEIN</t>
    </r>
  </si>
  <si>
    <t>Элемент угла крепёжный WANDSTEIN</t>
  </si>
  <si>
    <t>Панель фасадная WANDSTEIN "Кирпич"</t>
  </si>
  <si>
    <t>Розетка декоративная WANDSTEIN</t>
  </si>
  <si>
    <t>800х600х201</t>
  </si>
  <si>
    <t>Терракотовый</t>
  </si>
  <si>
    <t>Песочный</t>
  </si>
  <si>
    <t>Гранат</t>
  </si>
  <si>
    <t>Панель фасадная WANDSTEIN "Бут"</t>
  </si>
  <si>
    <t>Оливковый</t>
  </si>
  <si>
    <t>Панель фасадная WANDSTEIN "Парфир"</t>
  </si>
  <si>
    <t>Кол-во шт./уп.
С крепёжным эл-м угла/Без крепёжного эл-а угла</t>
  </si>
  <si>
    <t>С крепёжным эл-м угла</t>
  </si>
  <si>
    <t>Без крепёжного эл-а угла</t>
  </si>
  <si>
    <t xml:space="preserve">Угол наружный WANDSTEIN "Скол"
</t>
  </si>
  <si>
    <t>800х600х200</t>
  </si>
  <si>
    <t>9
         14</t>
  </si>
  <si>
    <t>Панель фасадная WANDSTEIN "Доломит"</t>
  </si>
  <si>
    <t xml:space="preserve">Угол наружный WANDSTEIN "Туф"
</t>
  </si>
  <si>
    <t xml:space="preserve">9
        15
</t>
  </si>
  <si>
    <t>Аксессуары Sandstein</t>
  </si>
  <si>
    <t>Наличник универсальный Sandstein</t>
  </si>
  <si>
    <t>800х600х210</t>
  </si>
  <si>
    <t>582,1х219,4х147,5 мм</t>
  </si>
  <si>
    <t xml:space="preserve">Угол наружный WANDSTEIN "Кирпич"
</t>
  </si>
  <si>
    <t>9
        13</t>
  </si>
  <si>
    <t>Угол универсальный Sandstein</t>
  </si>
  <si>
    <t>510х450х210</t>
  </si>
  <si>
    <t>200х200 мм</t>
  </si>
  <si>
    <t>* - применяется для розеток WANDSTEIN и углов Sandstein !</t>
  </si>
  <si>
    <t>Ваша Скидка</t>
  </si>
  <si>
    <t>Панели</t>
  </si>
  <si>
    <t>Аксессуары - наличники, углы, розетка</t>
  </si>
  <si>
    <t>Аксессуары J-профиль, отлив</t>
  </si>
  <si>
    <t>Старотовая планка</t>
  </si>
  <si>
    <t>Панельные ограждения Grand Line®</t>
  </si>
  <si>
    <t>Изображение продукции</t>
  </si>
  <si>
    <t>Высота/ Ширина, м.</t>
  </si>
  <si>
    <t>Цвет/покрытие</t>
  </si>
  <si>
    <t>Кол-во ребер, шт.</t>
  </si>
  <si>
    <t>Вес панели, кг</t>
  </si>
  <si>
    <t>Кол-во в упаковке, шт.</t>
  </si>
  <si>
    <t>Рекомендованная розничная цена за 1 панель, шт/руб.</t>
  </si>
  <si>
    <t>Высота/ Ширина,м</t>
  </si>
  <si>
    <t>Кол-во отверстий, шт.</t>
  </si>
  <si>
    <t>Вес, кг/шт.</t>
  </si>
  <si>
    <t>Розничная цена, шт./руб.</t>
  </si>
  <si>
    <t>Рекоменд розничная цена, п.м./руб.</t>
  </si>
  <si>
    <t xml:space="preserve">Столб оцинкованный                                                                                                                                                                                                                                                                                                                    с отверстиями                                                                                                                                                                                                                                                                                           и заглушкой                                                                                                                                                                                                                                         </t>
  </si>
  <si>
    <t>62*55</t>
  </si>
  <si>
    <t>1,03*2,5</t>
  </si>
  <si>
    <t>цинк</t>
  </si>
  <si>
    <t>1,53*2,5</t>
  </si>
  <si>
    <t>1,50*</t>
  </si>
  <si>
    <t>1,73*2,5</t>
  </si>
  <si>
    <t>2,03*2,5</t>
  </si>
  <si>
    <t>2,43*2,5</t>
  </si>
  <si>
    <t>2,00*</t>
  </si>
  <si>
    <t>0,63*2,5</t>
  </si>
  <si>
    <t>зелёный RAL 6005</t>
  </si>
  <si>
    <t>2,20*</t>
  </si>
  <si>
    <t xml:space="preserve">1,03*2,5 </t>
  </si>
  <si>
    <t>2,40*</t>
  </si>
  <si>
    <t>зелёный RAL 6005
коричневый RAL 8017</t>
  </si>
  <si>
    <t>2,50*</t>
  </si>
  <si>
    <t>1,73*3,0</t>
  </si>
  <si>
    <t>зелёный RAL 6005   
серый RAL 7040
коричневый RAL 8017</t>
  </si>
  <si>
    <t xml:space="preserve">Столб оцинкованный                                                                                                                                                                                                                                                                            с полимерным покрытием                                                                                                                                                                                                                                                                                с отверстиями                                                                                                                                                                                                                                                                                     и заглушкой                                                                                                                                                                                                                                       </t>
  </si>
  <si>
    <t>2,03*3,0</t>
  </si>
  <si>
    <t>2,00***</t>
  </si>
  <si>
    <t>2,20**</t>
  </si>
  <si>
    <t>2,40**</t>
  </si>
  <si>
    <t>2,50***</t>
  </si>
  <si>
    <t>3,00***</t>
  </si>
  <si>
    <t>зелёный RAL 6005
серый RAL 7040</t>
  </si>
  <si>
    <t>4,00***</t>
  </si>
  <si>
    <t>60*80</t>
  </si>
  <si>
    <t>4,00**</t>
  </si>
  <si>
    <t>индивидуально</t>
  </si>
  <si>
    <t>5,00**</t>
  </si>
  <si>
    <t>зелёный RAL 6005
серый RAL 7040
синий RAL 5005</t>
  </si>
  <si>
    <t>80*80</t>
  </si>
  <si>
    <t>Крепление скоба (болт М6*85/25/100  + гайка антивандальная М6 или или винт М6*30)</t>
  </si>
  <si>
    <t>оцинкованное  / с полимерным покрытием</t>
  </si>
  <si>
    <t>Панель BASTION 5/6 С ПОЛИМЕРНЫМ ПОКРЫТИЕМ ячейка 200х55 мм диаметр прутка вертикального 5 мм диаметр прутка горизонтального 6 мм</t>
  </si>
  <si>
    <t xml:space="preserve">2,03*2,5 </t>
  </si>
  <si>
    <t xml:space="preserve">Возможно производство под заказ от 150 погонных метров ограждения в следующих цветах: зеленый RAL 6005, синий RAL 5005,  серый RAL 7040, </t>
  </si>
  <si>
    <t xml:space="preserve">белый RAL 9016, желтый RAL 1021, красный RAL 3020, вишневый RAL 3005, коричневый RAL 8017, черный RAL 9005, бежевый RAL 1014 </t>
  </si>
  <si>
    <t>Остальные цвета по запросу согласно RAL с наценкой  10 %, в количестве не менее 300 погонных метров</t>
  </si>
  <si>
    <t>Все цены указаны с НДС на складе завода Grand Line (71 км от МКАД по Киевскому шоссе, Ворсино).</t>
  </si>
  <si>
    <t>Элементы панельных ограждений Grand Line®</t>
  </si>
  <si>
    <t xml:space="preserve">Столб оцинкованный                                                                                                                                                                                                                                                                                                                                                                                                                                                                                                                                                        с отверстиями                                                                                                                                                                                                                                                                                     и заглушкой                                                                                                                                                                                                                                       </t>
  </si>
  <si>
    <t>4*</t>
  </si>
  <si>
    <t>5*</t>
  </si>
  <si>
    <t xml:space="preserve">Столб оцинкованный                                                                                                                                                                                                                                                                                                                    с заглушкой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</si>
  <si>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Столб оцинкованный                                                                                                                                                                                                                                                                            с полимерным покрытием                                                                                                                                                                                                                                                                                с заглушкой                                                                                                                                                                                                                                       </t>
  </si>
  <si>
    <t>Крепление скоба</t>
  </si>
  <si>
    <t>болт М6*25 + гайка антивандальная М6</t>
  </si>
  <si>
    <t>зеленый RAL 6005
цинк</t>
  </si>
  <si>
    <t>болт М6*85/100 + гайка антивандальная М6</t>
  </si>
  <si>
    <t>винт М6*30</t>
  </si>
  <si>
    <t>зеленый RAL 6005
серый RAL 7040</t>
  </si>
  <si>
    <t xml:space="preserve">Крепление (2 скобы и болт М6х40) </t>
  </si>
  <si>
    <t>зеленый RAL 6005</t>
  </si>
  <si>
    <r>
      <t xml:space="preserve">Крепление хомут, Крепление хомут угловой, Крепление хомут крайний </t>
    </r>
    <r>
      <rPr>
        <sz val="18"/>
        <rFont val="Arial"/>
        <family val="2"/>
        <charset val="204"/>
      </rPr>
      <t>(укомплектован антивандальными гайками М6)</t>
    </r>
  </si>
  <si>
    <t>зеленый RAL 6005
серый RAL 7040
коричневый RAL 8017
цинк</t>
  </si>
  <si>
    <r>
      <t xml:space="preserve">Крепление хомут, Крепление хомут крайний </t>
    </r>
    <r>
      <rPr>
        <sz val="18"/>
        <rFont val="Arial"/>
        <family val="2"/>
        <charset val="204"/>
      </rPr>
      <t>(укомплектован антивандальными гайками М6)</t>
    </r>
  </si>
  <si>
    <t xml:space="preserve">                               80*80</t>
  </si>
  <si>
    <t>зеленый RAL 6005
серый RAL 7040
цинк</t>
  </si>
  <si>
    <r>
      <t xml:space="preserve">Крепление хомут 51 мм </t>
    </r>
    <r>
      <rPr>
        <sz val="18"/>
        <rFont val="Arial"/>
        <family val="2"/>
        <charset val="204"/>
      </rPr>
      <t>(укомплектован антивандальными гайками М6)</t>
    </r>
  </si>
  <si>
    <t>51 мм</t>
  </si>
  <si>
    <r>
      <t xml:space="preserve">Крепление для рулонной сетки
</t>
    </r>
    <r>
      <rPr>
        <sz val="18"/>
        <rFont val="Arial"/>
        <family val="2"/>
        <charset val="204"/>
      </rPr>
      <t>(пластиковая скоба+саморез 4,8х35)</t>
    </r>
  </si>
  <si>
    <t>нерж.</t>
  </si>
  <si>
    <t>Клипса соединительная</t>
  </si>
  <si>
    <t>Наконечник L на столб 62*55</t>
  </si>
  <si>
    <t>Наконечник  V на столб 62*55</t>
  </si>
  <si>
    <t>Наконечник  универсальный</t>
  </si>
  <si>
    <t>Наконечник прямой 550 мм</t>
  </si>
  <si>
    <t>Наконечник прямой 950 мм</t>
  </si>
  <si>
    <r>
      <t xml:space="preserve">Фиксатор проволоки в наконечнике                                 </t>
    </r>
    <r>
      <rPr>
        <sz val="18"/>
        <rFont val="Arial"/>
        <family val="2"/>
        <charset val="204"/>
      </rPr>
      <t>(скоба + болт М6*40 + гайка М6)</t>
    </r>
  </si>
  <si>
    <t>Болт М6*85/100 + шайба + гайка антивандальная   для крепления наконечника универсального к столбу</t>
  </si>
  <si>
    <t>Планка притворная для навесного замка</t>
  </si>
  <si>
    <t>зеленый RAL 6005
коричневый RAL 8017</t>
  </si>
  <si>
    <t>Основание для столба с болтовым соединением</t>
  </si>
  <si>
    <t>зеленый RAL 6005
серый RAL 7040                                                                                   цинк</t>
  </si>
  <si>
    <t xml:space="preserve">Фланец оцинкованный с полимерным покрытием треугольный или прямоугольный (приварен к столбу 62*55)  </t>
  </si>
  <si>
    <t>СББ диаметр 500/5 (6,2 витка на пог. метр)</t>
  </si>
  <si>
    <t>в бухте 10 погонных метров</t>
  </si>
  <si>
    <t>1 шт.</t>
  </si>
  <si>
    <t>в бухте 400 погонных метров</t>
  </si>
  <si>
    <r>
      <t xml:space="preserve">Штрих-корректоры
</t>
    </r>
    <r>
      <rPr>
        <sz val="18"/>
        <rFont val="Arial"/>
        <family val="2"/>
        <charset val="204"/>
      </rPr>
      <t>используется для реставрации полимерного покрытия</t>
    </r>
  </si>
  <si>
    <t xml:space="preserve">зеленый RAL 6005
коричневый RAL 8017
вишневый RAL 3005
серый RAL 7040
синий RAL 5005
белый RAL 9016
черный RAL 9005
желтый RAL 1021
бежевый RAL 1014
красный RAL 3020 </t>
  </si>
  <si>
    <t>20 мл</t>
  </si>
  <si>
    <t xml:space="preserve">1 шт. </t>
  </si>
  <si>
    <r>
      <t xml:space="preserve">Клипсатор </t>
    </r>
    <r>
      <rPr>
        <sz val="18"/>
        <rFont val="Arial"/>
        <family val="2"/>
        <charset val="204"/>
      </rPr>
      <t xml:space="preserve">                                                                               используется для обжима соединительных клипс при стыковке панелей</t>
    </r>
  </si>
  <si>
    <t>0,55*0,17</t>
  </si>
  <si>
    <t>* столбы изготавливаются с втулками</t>
  </si>
  <si>
    <t>Возможно производство под заказ от 150 погонных метров ограждения в следующих цветах: зеленый RAL 6005, синий RAL 5005,  серый RAL 7040, белый RAL 9016, желтый RAL 1021,</t>
  </si>
  <si>
    <t xml:space="preserve">красный RAL 3020, вишневый RAL 3005, коричневый RAL 8017, черный RAL 9005, бежевый RAL 1014 </t>
  </si>
  <si>
    <t>Модульные ограждения Grand Line®</t>
  </si>
  <si>
    <t>Высота ограждения, м</t>
  </si>
  <si>
    <t xml:space="preserve">Комплект на 2,5 метра прямого не замкнутого участка без учета финишных столбов и калиток с воротами Модульных ограждений Grand Line® </t>
  </si>
  <si>
    <r>
      <t xml:space="preserve">Цена за 1 п.м. комплекта, руб. </t>
    </r>
    <r>
      <rPr>
        <b/>
        <sz val="18"/>
        <color indexed="10"/>
        <rFont val="Arial"/>
        <family val="2"/>
        <charset val="204"/>
      </rPr>
      <t>Внимание! Расчет теоретический</t>
    </r>
    <r>
      <rPr>
        <b/>
        <sz val="18"/>
        <rFont val="Arial"/>
        <family val="2"/>
        <charset val="204"/>
      </rPr>
      <t>.                                                             Продажа ведется по ЭЛЕМЕНТАМ и расчет по конкретному участку будет отличаться!</t>
    </r>
  </si>
  <si>
    <t>Реком розничная цена, руб/п.м.</t>
  </si>
  <si>
    <t>Ограждение Grand Line®                                                       Эконом</t>
  </si>
  <si>
    <t>Труба 40*20*2500 мм  - 2 шт.   
Cтолб 62*55*2500 (3000) мм  - 1 шт. 
Х - кронштейн - 2 шт.</t>
  </si>
  <si>
    <t>Цинк</t>
  </si>
  <si>
    <t>Полимер</t>
  </si>
  <si>
    <t>Cтолб 62*55</t>
  </si>
  <si>
    <t>Ограждение Grand Line®                                                       Стандарт</t>
  </si>
  <si>
    <t>Cтойка 84*48</t>
  </si>
  <si>
    <t>Ограждение Grand Line®                                                       Премиум</t>
  </si>
  <si>
    <t>Панель  860*1600 (1970)мм - 3 шт.
Направляющая  60*20*2500 мм - 2 шт.
Стойка 84*48*2500 (3000) мм - 2 шт.
Крышка универсальная - 1 шт.</t>
  </si>
  <si>
    <t>Ограждение Grand Line®                                                       Премиум  Плюс</t>
  </si>
  <si>
    <t>Панель  860*1600 мм - 3 шт.
Направляющая  60*20*2500 мм - 3 шт.
Декоративное полотно 360*2500 мм - 1 шт.
Стойка 84*48*2500 (3000) мм - 2 шт.
Крышка универсальная - 1 шт.</t>
  </si>
  <si>
    <t>Элементы модульных ограждений Grand Line®</t>
  </si>
  <si>
    <t xml:space="preserve">Габаритные размеры, мм                             </t>
  </si>
  <si>
    <t>Кол-во в упак , шт.</t>
  </si>
  <si>
    <t>Толщина, мм</t>
  </si>
  <si>
    <t>Реком розничная цена, руб/шт</t>
  </si>
  <si>
    <t>Панель Премиум</t>
  </si>
  <si>
    <t>860*1600</t>
  </si>
  <si>
    <t>вишневый RAL 3005
зеленый RAL 6005
коричневый RAL 8017</t>
  </si>
  <si>
    <t xml:space="preserve">860*1970 </t>
  </si>
  <si>
    <t xml:space="preserve">Труба                   </t>
  </si>
  <si>
    <t xml:space="preserve">40*20*2500  </t>
  </si>
  <si>
    <t xml:space="preserve">цинк </t>
  </si>
  <si>
    <t>40*20*3000</t>
  </si>
  <si>
    <t xml:space="preserve"> Cтолб + заглушка</t>
  </si>
  <si>
    <t xml:space="preserve">62*55*2000   </t>
  </si>
  <si>
    <t xml:space="preserve">62*55*2500     </t>
  </si>
  <si>
    <t xml:space="preserve">62*55*3000   </t>
  </si>
  <si>
    <t xml:space="preserve">Направляющая  </t>
  </si>
  <si>
    <t xml:space="preserve">60*20*2500 </t>
  </si>
  <si>
    <t xml:space="preserve">вишневый RAL 3005
зеленый RAL 6005
коричневый RAL 8017              </t>
  </si>
  <si>
    <t xml:space="preserve"> Декоративное полотно                                                         </t>
  </si>
  <si>
    <t xml:space="preserve">360*2500    </t>
  </si>
  <si>
    <t>бежевый RAL 1014</t>
  </si>
  <si>
    <t xml:space="preserve"> Стойка </t>
  </si>
  <si>
    <t>84*48*2500</t>
  </si>
  <si>
    <t xml:space="preserve">вишневый RAL 3005
зеленый RAL 6005
коричневый RAL 8017 </t>
  </si>
  <si>
    <t xml:space="preserve">84*48*3000 </t>
  </si>
  <si>
    <t xml:space="preserve">Х-кронштейн </t>
  </si>
  <si>
    <t xml:space="preserve">248*109*40 </t>
  </si>
  <si>
    <t>Т-кронштейн</t>
  </si>
  <si>
    <t>155*90*80</t>
  </si>
  <si>
    <t>Крышка универсальная</t>
  </si>
  <si>
    <t>100*87*20</t>
  </si>
  <si>
    <t>Заглушка GL 62*55</t>
  </si>
  <si>
    <t>62*55*30</t>
  </si>
  <si>
    <t>чёрный RAL 9005</t>
  </si>
  <si>
    <t>L-кронштейн</t>
  </si>
  <si>
    <t>чёрный (RAL 9005), коричневый (RAL 8017).</t>
  </si>
  <si>
    <t>Крышка</t>
  </si>
  <si>
    <t>87*50</t>
  </si>
  <si>
    <t>вишневый RAL 3005                                         зеленый RAL 6005                             коричневый RAL 8017</t>
  </si>
  <si>
    <t>Заклепка цветная 3,2*8 цвет по RAL</t>
  </si>
  <si>
    <t>Саморез с прессшайбой 4,2*16 цвет по RAL</t>
  </si>
  <si>
    <t>Саморез металл-металл 5,5*19 бур.№3 цвет по RAL</t>
  </si>
  <si>
    <t>Саморез металл-дерево 4,8*35 цвет по RAL</t>
  </si>
  <si>
    <t>Цвета модульных ограждений GL:   зеленый RAL 6005, вишневый RAL 3005, коричневый RAL 8017</t>
  </si>
  <si>
    <t>Саморезы
4,8x35</t>
  </si>
  <si>
    <t>Саморезы
5,5x19</t>
  </si>
  <si>
    <t>Саморезы
4,2x16; заклепка 3,2х8</t>
  </si>
  <si>
    <t>Временные ограждения, Рулонная сетка и Металлический Штакетник</t>
  </si>
  <si>
    <t>Комплектация</t>
  </si>
  <si>
    <t>Заполнение</t>
  </si>
  <si>
    <t>Высота/ Ширина, м</t>
  </si>
  <si>
    <t>Розничная цена, п.м./руб.</t>
  </si>
  <si>
    <t>Газонные и тротуарные ограждения</t>
  </si>
  <si>
    <t>Элемент модульных ограждений Grand Line®:
Стойка 84х48 -1шт
Направляющая 60х20 - 1шт
Крышка универсальная - 1шт
Панель PROFI или MEDIUM - 1шт
Крепление (2 скобы и болт М6х40) - 2шт
Заклепки, окрашенные в цвет ограждения</t>
  </si>
  <si>
    <t>Панель MEDIUM</t>
  </si>
  <si>
    <t>Панель PROFI</t>
  </si>
  <si>
    <t>Диаметр проволоки,мм</t>
  </si>
  <si>
    <t>Высота/ Длина рулона, м</t>
  </si>
  <si>
    <t>Ячейка, мм</t>
  </si>
  <si>
    <t>100*50</t>
  </si>
  <si>
    <t>1,0/10</t>
  </si>
  <si>
    <t>1,5/25</t>
  </si>
  <si>
    <t>1,8/25</t>
  </si>
  <si>
    <t>2,0/25</t>
  </si>
  <si>
    <t>50*50</t>
  </si>
  <si>
    <t>1,0/25</t>
  </si>
  <si>
    <t>100*75</t>
  </si>
  <si>
    <r>
      <t xml:space="preserve">Крепление для рулонной сетки
</t>
    </r>
    <r>
      <rPr>
        <sz val="20"/>
        <rFont val="Arial"/>
        <family val="2"/>
        <charset val="204"/>
      </rPr>
      <t>(пластиковая скоба+саморез 4,8х35)</t>
    </r>
  </si>
  <si>
    <t>Крепление временных ограждений 51мм цинк Zn</t>
  </si>
  <si>
    <t>Бетонное основание</t>
  </si>
  <si>
    <t>Покрытие</t>
  </si>
  <si>
    <t>Высота, м</t>
  </si>
  <si>
    <t>Розничная цена, руб/п.м.</t>
  </si>
  <si>
    <t>Штакетник 
М/П - образный</t>
  </si>
  <si>
    <t>Штакетник Круглый/Прямоугольный</t>
  </si>
  <si>
    <t>прямой край</t>
  </si>
  <si>
    <t>фигурный край</t>
  </si>
  <si>
    <t>РЕ 0,5 GL</t>
  </si>
  <si>
    <t>1,5*; 1,8*; 2*</t>
  </si>
  <si>
    <t>8017, 6005, 3005</t>
  </si>
  <si>
    <t>Print 0,5</t>
  </si>
  <si>
    <t>1,8*</t>
  </si>
  <si>
    <t>Antique Dub, Golden Dub</t>
  </si>
  <si>
    <t>PE dp 0,45</t>
  </si>
  <si>
    <t>Print dp 0,45</t>
  </si>
  <si>
    <t>Планка П-образная для штакетника</t>
  </si>
  <si>
    <t>Откатные ворота</t>
  </si>
  <si>
    <t>Наименование Откатных ворот</t>
  </si>
  <si>
    <t>Цвет на складе</t>
  </si>
  <si>
    <t>Цвета под заказ</t>
  </si>
  <si>
    <t>Profi</t>
  </si>
  <si>
    <t>Панель Profi</t>
  </si>
  <si>
    <t>зеленый RAL 6005  (открывание влево)</t>
  </si>
  <si>
    <t>бежевый RAL 1014 желтый 1021
вишневый RAL 3005 красный RAL 3020
синий RAL5005
серый RAL 7040
коричневый RAL 8017
черный RAL 9005
ярко-белый RAL 9016</t>
  </si>
  <si>
    <t>Цвета на складе</t>
  </si>
  <si>
    <t>Премиум</t>
  </si>
  <si>
    <t>коричневый RAL 8017
(открывание универсальное)</t>
  </si>
  <si>
    <t>зелёный RAL 6005
вишневый RAL 3005</t>
  </si>
  <si>
    <t>Премиум Плюс</t>
  </si>
  <si>
    <t>Комплект для автоматизации откатных ворот</t>
  </si>
  <si>
    <t>Длина ворот до 6 м
Цена, руб.</t>
  </si>
  <si>
    <t>Рейка с креплением для откатных ворот</t>
  </si>
  <si>
    <t>Ворота Profi можно заказать в исполнении с механическим замком, данную опцию необходимо указывать при размещении заказа на производство, к стоимости ворот добавится стоимость замка</t>
  </si>
  <si>
    <t>LSKZ60 U2</t>
  </si>
  <si>
    <t>черный RAL 9005</t>
  </si>
  <si>
    <t>Ручка</t>
  </si>
  <si>
    <t>3006S</t>
  </si>
  <si>
    <t>Цилиндр</t>
  </si>
  <si>
    <t>3012VSZ</t>
  </si>
  <si>
    <t>Ключи</t>
  </si>
  <si>
    <t>3 штуки</t>
  </si>
  <si>
    <t>Ответная планка SSKZ QF</t>
  </si>
  <si>
    <t>1 штука</t>
  </si>
  <si>
    <t>Ответная планка O-SET</t>
  </si>
  <si>
    <t>Дополнительно можно приобрести</t>
  </si>
  <si>
    <t>Пульт Flo2R-S</t>
  </si>
  <si>
    <t>Фотоэлементы, пара (FE)</t>
  </si>
  <si>
    <t>Замковый выключатель (SELE)</t>
  </si>
  <si>
    <t>Ловитель</t>
  </si>
  <si>
    <r>
      <t>Распашные ворота и калитки Grand Line</t>
    </r>
    <r>
      <rPr>
        <b/>
        <sz val="36"/>
        <color indexed="10"/>
        <rFont val="Arial Cyr"/>
        <charset val="204"/>
      </rPr>
      <t>®</t>
    </r>
  </si>
  <si>
    <t>Калитка Profi</t>
  </si>
  <si>
    <t>Ворота Profi</t>
  </si>
  <si>
    <t>Габаритные размеры, м</t>
  </si>
  <si>
    <t>Цена, руб</t>
  </si>
  <si>
    <t>Калитка Премиум</t>
  </si>
  <si>
    <t>1,65*1,00</t>
  </si>
  <si>
    <t>2*1,00</t>
  </si>
  <si>
    <t xml:space="preserve">Калитка Премиум Плюс  </t>
  </si>
  <si>
    <t xml:space="preserve"> 2,00*1,00</t>
  </si>
  <si>
    <t xml:space="preserve">Ворота Премиум </t>
  </si>
  <si>
    <t>1,65*3,6</t>
  </si>
  <si>
    <t>2,00*3,6</t>
  </si>
  <si>
    <t xml:space="preserve">Ворота Премиум Плюс </t>
  </si>
  <si>
    <t xml:space="preserve"> вишневый RAL 3005
зеленый RAL 6005
коричневый RAL 8017</t>
  </si>
  <si>
    <t>Комплект ворот и калитки Profi, Премиум и Премиум плюс</t>
  </si>
  <si>
    <t>Lock</t>
  </si>
  <si>
    <t>Калитка Medium</t>
  </si>
  <si>
    <t>Ворота Medium</t>
  </si>
  <si>
    <t>Калитка Эконом</t>
  </si>
  <si>
    <t>2,00*1,00</t>
  </si>
  <si>
    <t>серый RAL 7040
коричневый RAL 8017</t>
  </si>
  <si>
    <t>Ворота Эконом</t>
  </si>
  <si>
    <t>2,00*3,45</t>
  </si>
  <si>
    <t xml:space="preserve">Комплект ворот и калитки Medium </t>
  </si>
  <si>
    <t>Комплект ворот и калитки  Эконом</t>
  </si>
  <si>
    <t>Все цены с НДС на складе завода Grand Line® (71 км от МКАД по Киевскому шоссе, Ворсино).</t>
  </si>
  <si>
    <t>Элементы ограждений Locinox</t>
  </si>
  <si>
    <t>Модель</t>
  </si>
  <si>
    <t>Размеры</t>
  </si>
  <si>
    <t>мин</t>
  </si>
  <si>
    <t>макс</t>
  </si>
  <si>
    <t>60мм</t>
  </si>
  <si>
    <t>80мм</t>
  </si>
  <si>
    <t>3006М</t>
  </si>
  <si>
    <t>3006R</t>
  </si>
  <si>
    <t>6005, 9005, 9010</t>
  </si>
  <si>
    <t>3006P</t>
  </si>
  <si>
    <t>3012VCA</t>
  </si>
  <si>
    <t>HYBRID 6060</t>
  </si>
  <si>
    <t>отсутствует</t>
  </si>
  <si>
    <t>Ручки</t>
  </si>
  <si>
    <t>3006M,   алюминий</t>
  </si>
  <si>
    <t>Цилиндр и ключи</t>
  </si>
  <si>
    <t>3012G33Z, 3 штуки</t>
  </si>
  <si>
    <t>Защитная накладка для замка</t>
  </si>
  <si>
    <t>3020-HYB, цвет - черный</t>
  </si>
  <si>
    <t>ответная планка SHKM</t>
  </si>
  <si>
    <t>Элемент быстрого монтажа</t>
  </si>
  <si>
    <t>QUICK-FIX</t>
  </si>
  <si>
    <t>2 штуки</t>
  </si>
  <si>
    <t>Петля для промышленных ворот</t>
  </si>
  <si>
    <t>Сталь</t>
  </si>
  <si>
    <t>Петля с регулировкой в четырех направлениях</t>
  </si>
  <si>
    <t>GBMU4D16Z</t>
  </si>
  <si>
    <t>GBMU4D20Z</t>
  </si>
  <si>
    <t>G90Z-M20</t>
  </si>
  <si>
    <t>Петля с регулировкой в одном направлении</t>
  </si>
  <si>
    <t>Петля универсальная</t>
  </si>
  <si>
    <t>50 штук</t>
  </si>
  <si>
    <t>Петля универсального открывания</t>
  </si>
  <si>
    <t>Ригель створки ворот</t>
  </si>
  <si>
    <t>VSF QF</t>
  </si>
  <si>
    <t>мин 40</t>
  </si>
  <si>
    <t>+140</t>
  </si>
  <si>
    <t>+100</t>
  </si>
  <si>
    <t>Основная часть - алюминий, Запорная часть - цинк</t>
  </si>
  <si>
    <t>Фиксатор ригелей ворот</t>
  </si>
  <si>
    <t>OGS</t>
  </si>
  <si>
    <t>40-50-60</t>
  </si>
  <si>
    <t xml:space="preserve">ригелей VSF VSA </t>
  </si>
  <si>
    <t>Фиксатор створки ворот</t>
  </si>
  <si>
    <t>UGC</t>
  </si>
  <si>
    <t>Алюмин</t>
  </si>
  <si>
    <t>+40</t>
  </si>
  <si>
    <t>Положение крюка под нижним профилем ворот</t>
  </si>
  <si>
    <t>SAMSON 250</t>
  </si>
  <si>
    <t>мин 40 мм</t>
  </si>
  <si>
    <t xml:space="preserve">Регулируемые скорость и сила закрытия </t>
  </si>
  <si>
    <t>VERTICLOSE</t>
  </si>
  <si>
    <t>мин 70 мм</t>
  </si>
  <si>
    <t>Регулируемые скорость и сила закрытия                                                                    Отбойник прилагается в комплекте</t>
  </si>
  <si>
    <t>Фиксатор створки ворот антивандальный</t>
  </si>
  <si>
    <t>HOOK-IN</t>
  </si>
  <si>
    <t>нерж</t>
  </si>
  <si>
    <t>Предотвращает взлом ворот с помощью лома</t>
  </si>
  <si>
    <t>Мансардные окна Fakro</t>
  </si>
  <si>
    <t>Размер (ширина х высота, см)</t>
  </si>
  <si>
    <t>55х78</t>
  </si>
  <si>
    <t>55х98</t>
  </si>
  <si>
    <t>66х98</t>
  </si>
  <si>
    <t>66х118</t>
  </si>
  <si>
    <t>78х98</t>
  </si>
  <si>
    <t>78х118</t>
  </si>
  <si>
    <t>78х140</t>
  </si>
  <si>
    <t>78х160</t>
  </si>
  <si>
    <t>94х118</t>
  </si>
  <si>
    <t>94х140</t>
  </si>
  <si>
    <t>114х118</t>
  </si>
  <si>
    <t>114х140</t>
  </si>
  <si>
    <t>134х98</t>
  </si>
  <si>
    <t>FAKRO STANDART FTS-V U2 (стандартная модель)</t>
  </si>
  <si>
    <t>FTP-V L3 ПРОФИ триплекс с легкоочищающимся покрытием</t>
  </si>
  <si>
    <t>FTP-V U3 ПРОФИ</t>
  </si>
  <si>
    <t xml:space="preserve">FAKRO FTP-V U3 Eleсtro Вентклапан V40P  </t>
  </si>
  <si>
    <t>FAKRO Plastic PTP U3 (модель из ПВХ)</t>
  </si>
  <si>
    <t xml:space="preserve">FAKRO PTP-V U3 ПВХ Вентклапан V35   </t>
  </si>
  <si>
    <t>FAKRO PreSelect FPP-V U3 (окно с комбинированной системой открывания)</t>
  </si>
  <si>
    <t>Изоляционные оклады для окон со среднеповоротным открыванием, окон с комбинированной системой открывания и эвакуационных окон</t>
  </si>
  <si>
    <t>Оклад EZV-P для профилированной кровли</t>
  </si>
  <si>
    <t>Оклад ESV для  плоской кровли</t>
  </si>
  <si>
    <t>Окно для выхода на крышу (для жилых помещений)</t>
  </si>
  <si>
    <t>FAKRO TERMO-PLUS FWR U3 (правое), FWL U3  (левое) (окно распашное термоизоляционное)</t>
  </si>
  <si>
    <t>Окно-люк WSZ с крышкой из поликарбоната с универсальным окладом 54х75</t>
  </si>
  <si>
    <t>Окно-люк WGI с крышкой оснащенной стеклопакетом с универсальным окладом 46х55</t>
  </si>
  <si>
    <t>Окно-люк WSZ с крышкой из поликарбоната с универсальным окладом  86х86</t>
  </si>
  <si>
    <t>Окно-люк WGI с крышкой оснащенной стеклопакетом с универсальным окладом 46х75</t>
  </si>
  <si>
    <t>Изоляционные оклады для распашного термоизоляционного окна</t>
  </si>
  <si>
    <t>Оклад EZW-P для профилированных кровельных материалов</t>
  </si>
  <si>
    <t>Оклад ESW оклад для плоских кровельных материалов</t>
  </si>
  <si>
    <t>Изоляционные оклады для каминных труб</t>
  </si>
  <si>
    <t>Оклад для труб GZK-AV универсальный 95х180</t>
  </si>
  <si>
    <t>Оклад для труб GZK-AS 38х100</t>
  </si>
  <si>
    <t>Оклад для труб GZK-AS 51х100</t>
  </si>
  <si>
    <t xml:space="preserve">Удлиняющий модуль GZM для GZK-AS 38 и GZK-AS 51 (до 100 см) </t>
  </si>
  <si>
    <t>Аксессуары для быстрого и качественного монтажа окон для крыши</t>
  </si>
  <si>
    <t>Оклад XDP - наружный утепленный гидроизоляционный оклад</t>
  </si>
  <si>
    <t>Оклад XDS - внутренний пароизоляционный оклад</t>
  </si>
  <si>
    <t xml:space="preserve">Дополнительный теплоизоляционный пояс XWT </t>
  </si>
  <si>
    <t>Аксессуары для окон</t>
  </si>
  <si>
    <t>Москитная сетка AMS</t>
  </si>
  <si>
    <t>Замок для дополнительной защиты от вскрытия и несанкционированного открывания окна ZBL</t>
  </si>
  <si>
    <t>Стержень для открывания высокорасположенных окон телескопический ZST 119-218 см (универсальный для окон и аксессуаров ARS, ARF, AJP)</t>
  </si>
  <si>
    <t>Чердачные лестницы</t>
  </si>
  <si>
    <t>Наименование / Размер (ширина х высота по люку, см)</t>
  </si>
  <si>
    <t>60x94x280</t>
  </si>
  <si>
    <t>60х120х280</t>
  </si>
  <si>
    <t>60х130х305</t>
  </si>
  <si>
    <t>60х140х305</t>
  </si>
  <si>
    <t>70x94x280</t>
  </si>
  <si>
    <t>70х120х280</t>
  </si>
  <si>
    <t>70х130х280</t>
  </si>
  <si>
    <t>70х130х270</t>
  </si>
  <si>
    <t>70х130х305</t>
  </si>
  <si>
    <t>70х140х280</t>
  </si>
  <si>
    <t>70х140х305</t>
  </si>
  <si>
    <t xml:space="preserve">Лестница LMS  - складная, металлическая лестница, термоизоляционая крышка облицованная ДВП бежевого цвета. </t>
  </si>
  <si>
    <t xml:space="preserve">Лестница THERMO LTK - складная, деревянная, термоизоляционая крышка облицованная ДВП белого цвета, толщиной 66мм. Лестница укомплектована поручнем </t>
  </si>
  <si>
    <t>Лестинца суперэнергосберегающая LWT-складная, суперэнергосберегающая крышка облицованная ДВП белого цвета, толщиной крышки с утеплителем 80мм. Лестница укомплекотована поручнем и пластиковыми наконечниками</t>
  </si>
  <si>
    <t>50х80х280</t>
  </si>
  <si>
    <t>50х70х300</t>
  </si>
  <si>
    <t>60х90х280</t>
  </si>
  <si>
    <t>60х90х300</t>
  </si>
  <si>
    <t>60х120х300</t>
  </si>
  <si>
    <t>70х80х280</t>
  </si>
  <si>
    <t>70х80х300</t>
  </si>
  <si>
    <t>70х110х300</t>
  </si>
  <si>
    <t>70х120х300</t>
  </si>
  <si>
    <t>Доп. Ступень LSS</t>
  </si>
  <si>
    <t>Металлическая огнестойкая лестница LSF</t>
  </si>
  <si>
    <t>Металлическая термоизоляционная лестница LST</t>
  </si>
  <si>
    <t>* - продукция есть на складе</t>
  </si>
  <si>
    <t>Весь ассортимент продукции FAKRO смотрите в каталоге фирмы-производителя</t>
  </si>
  <si>
    <t>Аксессуары</t>
  </si>
  <si>
    <t>Мансардные окна VELUX</t>
  </si>
  <si>
    <t>С02</t>
  </si>
  <si>
    <t>С04</t>
  </si>
  <si>
    <t>F04</t>
  </si>
  <si>
    <t>F06</t>
  </si>
  <si>
    <t>M04</t>
  </si>
  <si>
    <t>M06</t>
  </si>
  <si>
    <t>M08</t>
  </si>
  <si>
    <t>M10</t>
  </si>
  <si>
    <t>P06</t>
  </si>
  <si>
    <t>P08</t>
  </si>
  <si>
    <t>S06</t>
  </si>
  <si>
    <t>S08</t>
  </si>
  <si>
    <t>55x98</t>
  </si>
  <si>
    <t>66x98</t>
  </si>
  <si>
    <t>С верхним открыванием</t>
  </si>
  <si>
    <t>С нижним или комбинированным открыванием</t>
  </si>
  <si>
    <t>Продукция для проффесиональной установки</t>
  </si>
  <si>
    <t>Изоляционные оклады и комплекты для гидро- и теплоизоляции</t>
  </si>
  <si>
    <t>Оклад EDW 1000 для профилированной кровли**</t>
  </si>
  <si>
    <t>Оклад EDW 0000 для профилированной кровли</t>
  </si>
  <si>
    <t>Оклад EDS 0000 для плоской кровли</t>
  </si>
  <si>
    <t>Модель/Размер</t>
  </si>
  <si>
    <t>120х60</t>
  </si>
  <si>
    <t>120х70</t>
  </si>
  <si>
    <t>92,5х60</t>
  </si>
  <si>
    <t>92,5х70</t>
  </si>
  <si>
    <t>Доп. секция ZLL 116</t>
  </si>
  <si>
    <t>Доп. секция ZLL 118</t>
  </si>
  <si>
    <t>Доп. секция ZLL 119</t>
  </si>
  <si>
    <t>Поручень ZLL 112</t>
  </si>
  <si>
    <t>Весь ассортимент продукции VELUX смотрите в каталоге фирмы-производителя</t>
  </si>
  <si>
    <t>Окна, оклады, откосы,выходы на крышу Комфорт</t>
  </si>
  <si>
    <t>Окна, оклады Эконом, лестницы</t>
  </si>
  <si>
    <t>Вентиляция Krovent</t>
  </si>
  <si>
    <t>Цена руб./ шт.</t>
  </si>
  <si>
    <t>Кровельные вентили</t>
  </si>
  <si>
    <r>
      <t>Площадь проветриваемого пространства: 60 м</t>
    </r>
    <r>
      <rPr>
        <b/>
        <vertAlign val="superscript"/>
        <sz val="20"/>
        <color indexed="8"/>
        <rFont val="Arial"/>
        <family val="2"/>
        <charset val="204"/>
      </rPr>
      <t>2</t>
    </r>
  </si>
  <si>
    <r>
      <t xml:space="preserve">KTV 
</t>
    </r>
    <r>
      <rPr>
        <sz val="20"/>
        <color indexed="8"/>
        <rFont val="Arial"/>
        <family val="2"/>
        <charset val="204"/>
      </rPr>
      <t>Способ установки: при монтаже кровли
Тип кровли: мягкая</t>
    </r>
  </si>
  <si>
    <t>красный,зелёный
кирпичный,коричневый,серый, черный</t>
  </si>
  <si>
    <r>
      <t xml:space="preserve">KTV-Seam 
</t>
    </r>
    <r>
      <rPr>
        <sz val="20"/>
        <color indexed="8"/>
        <rFont val="Arial"/>
        <family val="2"/>
        <charset val="204"/>
      </rPr>
      <t>Способ установки: на готовую кровлю
Тип кровли: мягкая, фальцевая</t>
    </r>
  </si>
  <si>
    <r>
      <t xml:space="preserve">KTV-Wave 
</t>
    </r>
    <r>
      <rPr>
        <sz val="20"/>
        <color indexed="8"/>
        <rFont val="Arial"/>
        <family val="2"/>
        <charset val="204"/>
      </rPr>
      <t>Способ установки: на готовую кровлю
Тип кровли: металлочерепица</t>
    </r>
  </si>
  <si>
    <t>красный,зелёный
коричневый,серый</t>
  </si>
  <si>
    <t>Вентиляционные выходы</t>
  </si>
  <si>
    <r>
      <t>Выход вентиляции Pipe-VT</t>
    </r>
    <r>
      <rPr>
        <sz val="20"/>
        <color indexed="8"/>
        <rFont val="Arial"/>
        <family val="2"/>
        <charset val="204"/>
      </rPr>
      <t xml:space="preserve">
Сфера применения: вентиляция подкровельного пространства</t>
    </r>
  </si>
  <si>
    <r>
      <t>Выход канализации Pipe-VT 110 изолированный</t>
    </r>
    <r>
      <rPr>
        <sz val="20"/>
        <color indexed="8"/>
        <rFont val="Arial"/>
        <family val="2"/>
        <charset val="204"/>
      </rPr>
      <t xml:space="preserve">
Сфера применения: вентиляция канализационных стояков</t>
    </r>
  </si>
  <si>
    <r>
      <t>Выход вентиляции Pipe-VT 125 изолированный</t>
    </r>
    <r>
      <rPr>
        <sz val="20"/>
        <color indexed="8"/>
        <rFont val="Arial"/>
        <family val="2"/>
        <charset val="204"/>
      </rPr>
      <t xml:space="preserve">
Сфера применения: вентиляция внутренних помещений и кухонной вытяжки</t>
    </r>
  </si>
  <si>
    <r>
      <t>Выход вентиляции Pipe-VT 150 изолированный</t>
    </r>
    <r>
      <rPr>
        <sz val="20"/>
        <color indexed="8"/>
        <rFont val="Arial"/>
        <family val="2"/>
        <charset val="204"/>
      </rPr>
      <t xml:space="preserve">
Сфера применения: вентиляция внутренних помещений и кухонной вытяжки</t>
    </r>
  </si>
  <si>
    <r>
      <t xml:space="preserve">Колпак HupCap 110
</t>
    </r>
    <r>
      <rPr>
        <sz val="20"/>
        <color indexed="8"/>
        <rFont val="Arial"/>
        <family val="2"/>
        <charset val="204"/>
      </rPr>
      <t>Используется для вент.выхода Pipe-VT и выхода канализации Pipe-VT 110</t>
    </r>
  </si>
  <si>
    <r>
      <t xml:space="preserve">Колпак HupCap 270
</t>
    </r>
    <r>
      <rPr>
        <sz val="20"/>
        <color indexed="8"/>
        <rFont val="Arial"/>
        <family val="2"/>
        <charset val="204"/>
      </rPr>
      <t>Используется для вент.выхода 125 и 150</t>
    </r>
  </si>
  <si>
    <t>Проходные элементы</t>
  </si>
  <si>
    <t>Для выхода вентиляции Pipe-VT и выхода канализации Pipe-VT 110</t>
  </si>
  <si>
    <r>
      <t xml:space="preserve">Base-VT 110 
</t>
    </r>
    <r>
      <rPr>
        <sz val="20"/>
        <color indexed="8"/>
        <rFont val="Arial"/>
        <family val="2"/>
        <charset val="204"/>
      </rPr>
      <t>Способ установки: при монтаже кровли
Тип кровли: мягкая</t>
    </r>
  </si>
  <si>
    <r>
      <t xml:space="preserve">Base-VT Seam 110 
</t>
    </r>
    <r>
      <rPr>
        <sz val="20"/>
        <color indexed="8"/>
        <rFont val="Arial"/>
        <family val="2"/>
        <charset val="204"/>
      </rPr>
      <t>Способ установки: на готовую кровлю
Тип кровли: мягкая, фальцевая</t>
    </r>
  </si>
  <si>
    <r>
      <t xml:space="preserve">Base-VT Wave 110 
</t>
    </r>
    <r>
      <rPr>
        <sz val="20"/>
        <color indexed="8"/>
        <rFont val="Arial"/>
        <family val="2"/>
        <charset val="204"/>
      </rPr>
      <t>Способ установки: на готовую кровлю
Тип кровли: металлочерепица</t>
    </r>
  </si>
  <si>
    <t>красный,зелёный
кирпичный,коричневый,серый</t>
  </si>
  <si>
    <t>Для выхода вентиляции Pipe-VT 125 и Pipe-VT 150</t>
  </si>
  <si>
    <r>
      <t xml:space="preserve">Base-VT 125/150 
</t>
    </r>
    <r>
      <rPr>
        <sz val="20"/>
        <color indexed="8"/>
        <rFont val="Arial"/>
        <family val="2"/>
        <charset val="204"/>
      </rPr>
      <t>Способ установки: при монтаже кровли
Тип кровли: мягкая</t>
    </r>
  </si>
  <si>
    <r>
      <t xml:space="preserve">Base-VT Seam 125/150 
</t>
    </r>
    <r>
      <rPr>
        <sz val="20"/>
        <color indexed="8"/>
        <rFont val="Arial"/>
        <family val="2"/>
        <charset val="204"/>
      </rPr>
      <t>Способ установки: на готовую кровлю
Тип кровли: мягкая, фальцевая</t>
    </r>
  </si>
  <si>
    <r>
      <t xml:space="preserve">Base-VT Wave 125/150 
</t>
    </r>
    <r>
      <rPr>
        <sz val="20"/>
        <color indexed="8"/>
        <rFont val="Arial"/>
        <family val="2"/>
        <charset val="204"/>
      </rPr>
      <t>Способ установки: на готовую кровлю
Тип кровли: металлочерепица</t>
    </r>
  </si>
  <si>
    <t>Коньковый элемент</t>
  </si>
  <si>
    <r>
      <t xml:space="preserve">Pipe-Cone
</t>
    </r>
    <r>
      <rPr>
        <sz val="20"/>
        <rFont val="Arial"/>
        <family val="2"/>
        <charset val="204"/>
      </rPr>
      <t>При монтаже используется в комплекте с колпаком HupCap 110</t>
    </r>
  </si>
  <si>
    <t>красный,зелёный,
коричневый,серый, черный</t>
  </si>
  <si>
    <t>Аэраторы скатные</t>
  </si>
  <si>
    <r>
      <t>Площадь проветриваемого пространства: 20 м</t>
    </r>
    <r>
      <rPr>
        <b/>
        <vertAlign val="superscript"/>
        <sz val="20"/>
        <color indexed="8"/>
        <rFont val="Arial"/>
        <family val="2"/>
        <charset val="204"/>
      </rPr>
      <t>2</t>
    </r>
  </si>
  <si>
    <r>
      <t xml:space="preserve">Aero-Vent
</t>
    </r>
    <r>
      <rPr>
        <sz val="20"/>
        <color indexed="8"/>
        <rFont val="Arial"/>
        <family val="2"/>
        <charset val="204"/>
      </rPr>
      <t>Способ установки: при монтаже кровли
Тип кровли: мягкая</t>
    </r>
  </si>
  <si>
    <t>красный,зелёный,
коричневый,серый</t>
  </si>
  <si>
    <r>
      <t xml:space="preserve">Aero-Vent Wave
</t>
    </r>
    <r>
      <rPr>
        <sz val="20"/>
        <color indexed="8"/>
        <rFont val="Arial"/>
        <family val="2"/>
        <charset val="204"/>
      </rPr>
      <t>Способ установки: на готовую кровлю
Тип кровли: металлочерепица</t>
    </r>
  </si>
  <si>
    <t>красный,зелёный,
коричневый</t>
  </si>
  <si>
    <t>Вентиляция Vilpe</t>
  </si>
  <si>
    <t>Easy</t>
  </si>
  <si>
    <t>Innovative</t>
  </si>
  <si>
    <t>RR33,RR32,RR11, RR23, RR29,RR750</t>
  </si>
  <si>
    <t xml:space="preserve"> RR35, RR887, RR798, RR779</t>
  </si>
  <si>
    <t>RR33,RR32,RR11, RR23, RR29</t>
  </si>
  <si>
    <t xml:space="preserve"> RR35, RR7040,RR750</t>
  </si>
  <si>
    <t xml:space="preserve"> RR35,RR750</t>
  </si>
  <si>
    <t xml:space="preserve"> RR7040</t>
  </si>
  <si>
    <r>
      <t xml:space="preserve">XL-UNIVERSAL/PELTI - </t>
    </r>
    <r>
      <rPr>
        <sz val="20"/>
        <color indexed="8"/>
        <rFont val="Arial"/>
        <family val="2"/>
        <charset val="204"/>
      </rPr>
      <t>проходной элемент для металлочерепицы независимо от профиля</t>
    </r>
  </si>
  <si>
    <t>RR33, RR 32, RR11, RR23, RR29, RR750</t>
  </si>
  <si>
    <r>
      <t>XL-MUOTOKATE</t>
    </r>
    <r>
      <rPr>
        <sz val="20"/>
        <color indexed="8"/>
        <rFont val="Arial"/>
        <family val="2"/>
        <charset val="204"/>
      </rPr>
      <t xml:space="preserve"> - проходной элемент для металлочерепицы Модерн, Классик</t>
    </r>
  </si>
  <si>
    <t>RR33, RR32, RR11, RR23, RR29, RR750</t>
  </si>
  <si>
    <r>
      <t>XL- CLASSIC</t>
    </r>
    <r>
      <rPr>
        <sz val="20"/>
        <color indexed="8"/>
        <rFont val="Arial"/>
        <family val="2"/>
        <charset val="204"/>
      </rPr>
      <t xml:space="preserve"> - проходной элемент для фальцевой и мягкой кровли (герметик в комплект не входит)</t>
    </r>
  </si>
  <si>
    <t>Кровельные вентили KTV</t>
  </si>
  <si>
    <t>RR33, RR23, RR32, RR11, RR29</t>
  </si>
  <si>
    <t>RR750</t>
  </si>
  <si>
    <t>RR35,RR887, RR798, RR779</t>
  </si>
  <si>
    <t xml:space="preserve"> RR35</t>
  </si>
  <si>
    <t>RR33,RR32,RR11, RR23, RR29,RR750,</t>
  </si>
  <si>
    <t>RR887, RR798, RR779</t>
  </si>
  <si>
    <r>
      <t xml:space="preserve">HUOPA - КТV - </t>
    </r>
    <r>
      <rPr>
        <sz val="20"/>
        <color indexed="8"/>
        <rFont val="Arial"/>
        <family val="2"/>
        <charset val="204"/>
      </rPr>
      <t xml:space="preserve"> кровельный вентиль для установки в процессе монтажа мягкой кровли (герметик в комплект не входит)</t>
    </r>
  </si>
  <si>
    <t xml:space="preserve">RR33, RR 32, RR11,RR23,RR29 </t>
  </si>
  <si>
    <t>RR750, RR35</t>
  </si>
  <si>
    <r>
      <t xml:space="preserve">PELTI-KTV / HARJA** - </t>
    </r>
    <r>
      <rPr>
        <sz val="20"/>
        <color indexed="8"/>
        <rFont val="Arial"/>
        <family val="2"/>
        <charset val="204"/>
      </rPr>
      <t>коньковый кровельный вентиль для металлических кровель (Универсальный)</t>
    </r>
  </si>
  <si>
    <t>RR35, RR33, RR 32, RR11,RR23,RR29,RR750</t>
  </si>
  <si>
    <t>Вентиляционные выходы канализации</t>
  </si>
  <si>
    <t>RR33, RR 32, RR11,RR23,RR29,RR750</t>
  </si>
  <si>
    <t xml:space="preserve"> RR35, RAL 7040</t>
  </si>
  <si>
    <t>RR33, RR 32, RR11,RR23,RR29,RR750, RR35, RAL 7040</t>
  </si>
  <si>
    <t>RR35, RAL 7040</t>
  </si>
  <si>
    <r>
      <t>Труба 110/75 гофрированная** -</t>
    </r>
    <r>
      <rPr>
        <sz val="20"/>
        <color indexed="8"/>
        <rFont val="Arial"/>
        <family val="2"/>
        <charset val="204"/>
      </rPr>
      <t xml:space="preserve"> соединяет вентиляционный выход канализации с канализационным стояком, общая длина 54 см</t>
    </r>
  </si>
  <si>
    <t>RR33</t>
  </si>
  <si>
    <t>Вентиляционные выходы 0- 600 м3/ч</t>
  </si>
  <si>
    <r>
      <t>Вентиляционный выход  (Выход вытяжки) 160 /225/500**</t>
    </r>
    <r>
      <rPr>
        <sz val="20"/>
        <rFont val="Arial"/>
        <family val="2"/>
        <charset val="204"/>
      </rPr>
      <t xml:space="preserve"> - изолированный вентиляционный выход с колпаком</t>
    </r>
  </si>
  <si>
    <t>RR33, RR 32, RR11,RR23,RR29,RR750,RAL 7040</t>
  </si>
  <si>
    <t xml:space="preserve"> RR35, RAL 7040, RR 887, RR 798, RR 779</t>
  </si>
  <si>
    <r>
      <t>XL- 160/ИЗ/500</t>
    </r>
    <r>
      <rPr>
        <sz val="20"/>
        <color indexed="8"/>
        <rFont val="Arial"/>
        <family val="2"/>
        <charset val="204"/>
      </rPr>
      <t xml:space="preserve"> вентиляционный выход</t>
    </r>
  </si>
  <si>
    <t>RR32,RR11,RR23,RR29,RR750</t>
  </si>
  <si>
    <r>
      <t xml:space="preserve">XL-200/ИЗ/500 </t>
    </r>
    <r>
      <rPr>
        <sz val="20"/>
        <color indexed="8"/>
        <rFont val="Arial"/>
        <family val="2"/>
        <charset val="204"/>
      </rPr>
      <t>вентиляционный выход</t>
    </r>
  </si>
  <si>
    <r>
      <t>XL-250/ИЗ/500</t>
    </r>
    <r>
      <rPr>
        <sz val="20"/>
        <color indexed="8"/>
        <rFont val="Arial"/>
        <family val="2"/>
        <charset val="204"/>
      </rPr>
      <t xml:space="preserve"> вентиляционный выход</t>
    </r>
  </si>
  <si>
    <t>Р - вентиляторы</t>
  </si>
  <si>
    <r>
      <t xml:space="preserve">Вентилятор  Е120 P 125/500 - </t>
    </r>
    <r>
      <rPr>
        <sz val="20"/>
        <color indexed="8"/>
        <rFont val="Arial"/>
        <family val="2"/>
        <charset val="204"/>
      </rPr>
      <t>вентиляционный выход с колпаком в который встроен вентилятор</t>
    </r>
  </si>
  <si>
    <t>RR33, RR32, RR11, RR29, RR23, RR 750,RAL 7040</t>
  </si>
  <si>
    <r>
      <t>Вентилятор  E190 Р 125/ 500</t>
    </r>
    <r>
      <rPr>
        <sz val="20"/>
        <color indexed="8"/>
        <rFont val="Arial"/>
        <family val="2"/>
        <charset val="204"/>
      </rPr>
      <t xml:space="preserve"> - вентиляционный выход с колпаком в который встроен вентилятор</t>
    </r>
  </si>
  <si>
    <t>RR33, RR32, RR11, RR29, RR750,RAL 7040</t>
  </si>
  <si>
    <r>
      <t xml:space="preserve">Антенный ворот - </t>
    </r>
    <r>
      <rPr>
        <sz val="20"/>
        <color indexed="8"/>
        <rFont val="Arial"/>
        <family val="2"/>
        <charset val="204"/>
      </rPr>
      <t>используется с проходным элементом по типу кровли</t>
    </r>
  </si>
  <si>
    <r>
      <t xml:space="preserve">Антенный ворот </t>
    </r>
    <r>
      <rPr>
        <sz val="20"/>
        <color indexed="8"/>
        <rFont val="Arial"/>
        <family val="2"/>
        <charset val="204"/>
      </rPr>
      <t>для труб Ø 12-90 мм</t>
    </r>
  </si>
  <si>
    <t>RR33, RR32, RR11, RR29, RR23, RR750</t>
  </si>
  <si>
    <r>
      <t xml:space="preserve">Ворот трубы </t>
    </r>
    <r>
      <rPr>
        <sz val="20"/>
        <color indexed="8"/>
        <rFont val="Arial"/>
        <family val="2"/>
        <charset val="204"/>
      </rPr>
      <t>Ø 110 - 155 мм</t>
    </r>
  </si>
  <si>
    <t>RR33, RR 32, RR11, RR29, RR23, RR750</t>
  </si>
  <si>
    <r>
      <t xml:space="preserve">XL- резиновый ворот </t>
    </r>
    <r>
      <rPr>
        <sz val="20"/>
        <color indexed="8"/>
        <rFont val="Arial"/>
        <family val="2"/>
        <charset val="204"/>
      </rPr>
      <t xml:space="preserve">Ø 175 - 250 мм </t>
    </r>
  </si>
  <si>
    <t>Цокольный дефлектор</t>
  </si>
  <si>
    <r>
      <t>ROSS - 125/135 дефлектор</t>
    </r>
    <r>
      <rPr>
        <sz val="20"/>
        <color indexed="8"/>
        <rFont val="Arial"/>
        <family val="2"/>
        <charset val="204"/>
      </rPr>
      <t xml:space="preserve"> - для проветривания цокольного пространства здания, обеспечения приточной или вытяжной вентиляции расположенных в подвале саун, гаражей, котельных, подачи воздуха в камины и т.д. </t>
    </r>
  </si>
  <si>
    <t>RAL 7040, RR33,RR23,RR29, RAL 9016, RR30</t>
  </si>
  <si>
    <r>
      <t>ROSS - 160 /170 дефлектор</t>
    </r>
    <r>
      <rPr>
        <sz val="20"/>
        <color indexed="8"/>
        <rFont val="Arial"/>
        <family val="2"/>
        <charset val="204"/>
      </rPr>
      <t xml:space="preserve"> - для проветривания цокольного пространства здания, обеспечения приточной или вытяжной вентиляции подвальных помещений.</t>
    </r>
  </si>
  <si>
    <t>Проходные элементы PIIPPU</t>
  </si>
  <si>
    <r>
      <t xml:space="preserve">PIIPPU  проходной элемент NO.1 круглый </t>
    </r>
    <r>
      <rPr>
        <sz val="20"/>
        <color indexed="8"/>
        <rFont val="Arial"/>
        <family val="2"/>
        <charset val="204"/>
      </rPr>
      <t>- для дымовых труб диаметром 200-265 мм</t>
    </r>
  </si>
  <si>
    <r>
      <t xml:space="preserve">PIIPPU  проходной элемент NO.2 круглый </t>
    </r>
    <r>
      <rPr>
        <sz val="20"/>
        <color indexed="8"/>
        <rFont val="Arial"/>
        <family val="2"/>
        <charset val="204"/>
      </rPr>
      <t>- для дымовых труб более 265 мм</t>
    </r>
  </si>
  <si>
    <r>
      <t>PIIPPU уплотнитель гидрозатвора NO.1</t>
    </r>
    <r>
      <rPr>
        <sz val="20"/>
        <color indexed="8"/>
        <rFont val="Arial"/>
        <family val="2"/>
        <charset val="204"/>
      </rPr>
      <t xml:space="preserve"> - для монтажа PIIPPU проходного элемента на всех видах кровли, кроме мягкой</t>
    </r>
  </si>
  <si>
    <r>
      <t>PIIPPU уплотнитель гидрозатвора NO.2</t>
    </r>
    <r>
      <rPr>
        <sz val="20"/>
        <color indexed="8"/>
        <rFont val="Arial"/>
        <family val="2"/>
        <charset val="204"/>
      </rPr>
      <t xml:space="preserve"> - для монтажа PIIPPU проходного элемента на всех видах кровли, кроме мягкой</t>
    </r>
  </si>
  <si>
    <r>
      <t>Окантовка PIIPPU  проходного элемента</t>
    </r>
    <r>
      <rPr>
        <sz val="20"/>
        <color indexed="8"/>
        <rFont val="Arial"/>
        <family val="2"/>
        <charset val="204"/>
      </rPr>
      <t xml:space="preserve"> - для монтажа на натуральной, металлочерепице и фальцевой кровле</t>
    </r>
  </si>
  <si>
    <t>Доп. листы для окантовки NO.1 PIIPPU проходного элемента</t>
  </si>
  <si>
    <t>Доп. листы для окантовки NO.2 PIIPPU проходного элемента</t>
  </si>
  <si>
    <r>
      <t>Крепежные планки</t>
    </r>
    <r>
      <rPr>
        <sz val="20"/>
        <color indexed="8"/>
        <rFont val="Arial"/>
        <family val="2"/>
        <charset val="204"/>
      </rPr>
      <t xml:space="preserve"> - для облегчения монтажа PIIPPU проходного элемента на фальцевой кровле</t>
    </r>
  </si>
  <si>
    <t>Резиновые уплотнители для металлических кровель (для герметичного прохода через кровлю круглых элементов)</t>
  </si>
  <si>
    <t>** - продукция есть на складе в цветах RR32, RR11, RR29</t>
  </si>
  <si>
    <t>цены действительны от</t>
  </si>
  <si>
    <t>Террасная доска ЭКОДЕК</t>
  </si>
  <si>
    <t>Поверхность</t>
  </si>
  <si>
    <t>Глянец / Брашинг</t>
  </si>
  <si>
    <t>1 доска (длина 3 м)</t>
  </si>
  <si>
    <t>1 уп. - 5 шт (длина 3 м)</t>
  </si>
  <si>
    <t>Белый клен,
Зеленый,
Синий,
Терракотовый,
Янтарный</t>
  </si>
  <si>
    <t>Комплектующие для террасной доски ЭКОДЕК</t>
  </si>
  <si>
    <t>Материал</t>
  </si>
  <si>
    <t>Расход на 1 кв.м. покрытия</t>
  </si>
  <si>
    <t>Монтажная лага в цвет доски</t>
  </si>
  <si>
    <t>алюминий</t>
  </si>
  <si>
    <t>3 погонных метра на 1 кв.м.</t>
  </si>
  <si>
    <t>50 х 30 х 3000 мм</t>
  </si>
  <si>
    <t>Монтажная лага неокрашенная</t>
  </si>
  <si>
    <t>Монтажная лага в цвет Венге</t>
  </si>
  <si>
    <t>ДПК</t>
  </si>
  <si>
    <t>L-профиль в цвет доски</t>
  </si>
  <si>
    <t>22 х 55 х 3000 мм</t>
  </si>
  <si>
    <t>L-профиль неокрашенный</t>
  </si>
  <si>
    <t>Кляймер в цвет доски (соединительный)</t>
  </si>
  <si>
    <t>металл</t>
  </si>
  <si>
    <t>21 шт на 1 кв.м.</t>
  </si>
  <si>
    <t>Кляймер неокрашенный (стартовый и соединительный)</t>
  </si>
  <si>
    <t>Теплицы</t>
  </si>
  <si>
    <t>Цена (руб)</t>
  </si>
  <si>
    <t>4 х 3 х 2 м</t>
  </si>
  <si>
    <t>2 х 3 х 2 м</t>
  </si>
  <si>
    <t xml:space="preserve"> 4 х 3 х 2 м </t>
  </si>
  <si>
    <t>Каркас-вставка оцинк. 2м труба 20х20мм</t>
  </si>
  <si>
    <t>6 х 2,1 м</t>
  </si>
  <si>
    <t>Поликарбонат</t>
  </si>
  <si>
    <t>Каркас</t>
  </si>
  <si>
    <t>Стенды</t>
  </si>
  <si>
    <t>Полиграфия</t>
  </si>
  <si>
    <t>Габариты, мм</t>
  </si>
  <si>
    <t>Точка отгрузки</t>
  </si>
  <si>
    <t>Профилированая продукция</t>
  </si>
  <si>
    <t>Стенд "Кровельный пирог"</t>
  </si>
  <si>
    <t>15500*</t>
  </si>
  <si>
    <t>2035х1200х1230</t>
  </si>
  <si>
    <t>Обнинск</t>
  </si>
  <si>
    <t>Листовка А4</t>
  </si>
  <si>
    <t>1000х1000х150</t>
  </si>
  <si>
    <t>Верховье</t>
  </si>
  <si>
    <t>Мини-буклеты</t>
  </si>
  <si>
    <t>Стенд "Металлочерепица/Профнастил"</t>
  </si>
  <si>
    <t>4200*</t>
  </si>
  <si>
    <t>1202х2167х65
+ 1200х500х300</t>
  </si>
  <si>
    <t>Листовка А3 с фальцем</t>
  </si>
  <si>
    <t>Стенд "Доборные элементы кровли"</t>
  </si>
  <si>
    <t>3500*</t>
  </si>
  <si>
    <t>Каталог продукции</t>
  </si>
  <si>
    <t>Стенд "Металлический сайдинг Блок-хаус+Экобрус GL"</t>
  </si>
  <si>
    <t>1000х1000х100</t>
  </si>
  <si>
    <t>Шпаргалка</t>
  </si>
  <si>
    <t>Стенд "Металлический сайдинг Корабельная доска+Вертикаль"</t>
  </si>
  <si>
    <t>Сборник доборников</t>
  </si>
  <si>
    <t>Стенд Colority Print</t>
  </si>
  <si>
    <t>700х1000х20</t>
  </si>
  <si>
    <t>Плакат А3 Домик на стол менеджера</t>
  </si>
  <si>
    <t>Стенд "Металлический штакетник"</t>
  </si>
  <si>
    <t>5500*</t>
  </si>
  <si>
    <t>900х1500</t>
  </si>
  <si>
    <t>Каталог Инструменты</t>
  </si>
  <si>
    <t>Стойка для полиграфии</t>
  </si>
  <si>
    <t>2500*</t>
  </si>
  <si>
    <t>1550х23х35</t>
  </si>
  <si>
    <t>Инструкция м/ч, ч/б</t>
  </si>
  <si>
    <t>Планшет для образцов покрытий</t>
  </si>
  <si>
    <t>860х1830х50</t>
  </si>
  <si>
    <t>Гарантийный талон общий</t>
  </si>
  <si>
    <t>Мини-планшет для образцов покрытий</t>
  </si>
  <si>
    <t>4500*</t>
  </si>
  <si>
    <t>420х550х20</t>
  </si>
  <si>
    <t>Инструкция по винилу, 16 полос</t>
  </si>
  <si>
    <t>1200х150х20</t>
  </si>
  <si>
    <t>Инструкция по винилу, ч/б</t>
  </si>
  <si>
    <t>Комплект табличек для профнастилов
(9 шт. в упаковке)</t>
  </si>
  <si>
    <t>1200х150х50</t>
  </si>
  <si>
    <t>Гарантийный талон ПВХ</t>
  </si>
  <si>
    <t>10000*</t>
  </si>
  <si>
    <t>900х1100х2000</t>
  </si>
  <si>
    <t>Ворсино</t>
  </si>
  <si>
    <t>Водосток/Заборы</t>
  </si>
  <si>
    <t>Буклет Модульные ограждения</t>
  </si>
  <si>
    <t>Буклет Панельные ограждения</t>
  </si>
  <si>
    <t>700*</t>
  </si>
  <si>
    <t>550х550х70</t>
  </si>
  <si>
    <t>Буклет Водосток</t>
  </si>
  <si>
    <t>715x620</t>
  </si>
  <si>
    <t>Каталог Конструкторских решений панельные огражд.</t>
  </si>
  <si>
    <t>300*</t>
  </si>
  <si>
    <t>179x330</t>
  </si>
  <si>
    <t>Гарантия Водосток</t>
  </si>
  <si>
    <t>20000*</t>
  </si>
  <si>
    <t>1550х990х380</t>
  </si>
  <si>
    <t>Гарантия Ограждения</t>
  </si>
  <si>
    <t>15000*</t>
  </si>
  <si>
    <t>2017x1175x700</t>
  </si>
  <si>
    <t>Гарантия ЭБК</t>
  </si>
  <si>
    <t>600х400</t>
  </si>
  <si>
    <t>680х650</t>
  </si>
  <si>
    <t>630х640</t>
  </si>
  <si>
    <t>Ворсино, Верховье</t>
  </si>
  <si>
    <t>Экспозитор "Карельский брус"</t>
  </si>
  <si>
    <t>1000*</t>
  </si>
  <si>
    <t>930х300</t>
  </si>
  <si>
    <t>Стенд "Виниловый сайдинг GL Amerika"</t>
  </si>
  <si>
    <t>1000х1000</t>
  </si>
  <si>
    <t>1600*</t>
  </si>
  <si>
    <t>594х841</t>
  </si>
  <si>
    <t>Стенд "Карта цветов винилового сайдинга GL Amerika"</t>
  </si>
  <si>
    <t>Стенд "GL Amerika + Mid-America"</t>
  </si>
  <si>
    <t>Стенд  "Виниловые софиты GL"</t>
  </si>
  <si>
    <t>750х1000</t>
  </si>
  <si>
    <t>Стенд "Водосточная система Rohrfit"</t>
  </si>
  <si>
    <t>2000*</t>
  </si>
  <si>
    <t>Стенд для ручного инструмента</t>
  </si>
  <si>
    <t>5000*</t>
  </si>
  <si>
    <t>1030х530х120</t>
  </si>
  <si>
    <t>Cтенд "Бензобуры, шнеки и удлинители"</t>
  </si>
  <si>
    <t>1200х1200х800</t>
  </si>
  <si>
    <t>Стойка для инструментов</t>
  </si>
  <si>
    <t>3000*</t>
  </si>
  <si>
    <t>152х46х42</t>
  </si>
  <si>
    <t>Ознакомиться с Каталогом стендов можно на дилерской части сайта Grand Line (раздел "Реклама"→"Стенды")</t>
  </si>
  <si>
    <t>Навигатор по вкладкам</t>
  </si>
  <si>
    <t>1 Grand Line</t>
  </si>
  <si>
    <t>2 Optima</t>
  </si>
  <si>
    <t>длина</t>
  </si>
  <si>
    <t>ширина</t>
  </si>
  <si>
    <t xml:space="preserve">Нестандартные колпаки на столбы для ограждений </t>
  </si>
  <si>
    <t>Дымники на трубы</t>
  </si>
  <si>
    <r>
      <t xml:space="preserve">Нестандартные колпаки на столбы для ограждений (под заказ!) </t>
    </r>
    <r>
      <rPr>
        <b/>
        <sz val="16"/>
        <color rgb="FFFF0000"/>
        <rFont val="Arial"/>
        <family val="2"/>
        <charset val="204"/>
      </rPr>
      <t>NEW</t>
    </r>
  </si>
  <si>
    <r>
      <t xml:space="preserve">Установите длину и ширину (в мм) </t>
    </r>
    <r>
      <rPr>
        <b/>
        <u/>
        <sz val="16"/>
        <rFont val="Arial"/>
        <family val="2"/>
        <charset val="204"/>
      </rPr>
      <t>колпака</t>
    </r>
    <r>
      <rPr>
        <b/>
        <sz val="16"/>
        <rFont val="Arial"/>
        <family val="2"/>
        <charset val="204"/>
      </rPr>
      <t xml:space="preserve"> (max длина - 2500мм, max ширина - 1500мм)* размеры указываются кратно 10 мм</t>
    </r>
  </si>
  <si>
    <t>Гофрированная труба</t>
  </si>
  <si>
    <t>** - поддерживается на складе в коричневом цвете</t>
  </si>
  <si>
    <t>Доступные для заказа цвета</t>
  </si>
  <si>
    <t>Трубы для забора</t>
  </si>
  <si>
    <t xml:space="preserve">за заказ менее 7 кв.м. </t>
  </si>
  <si>
    <t xml:space="preserve">за заказ от 7 до 25 кв.м. </t>
  </si>
  <si>
    <r>
      <t xml:space="preserve">Гофрированная труба  Connect Pipe-VT 110
</t>
    </r>
    <r>
      <rPr>
        <sz val="20"/>
        <color indexed="8"/>
        <rFont val="Arial"/>
        <family val="2"/>
        <charset val="204"/>
      </rPr>
      <t>Гофрированная труба используется для соединения выхода канализации </t>
    </r>
    <r>
      <rPr>
        <b/>
        <sz val="20"/>
        <color indexed="8"/>
        <rFont val="Arial"/>
        <family val="2"/>
        <charset val="204"/>
      </rPr>
      <t>Pipe-VT 110 изолированный</t>
    </r>
  </si>
  <si>
    <t>Кронштейн опорный для лестницы - 1 шт
Саморез - 1 шт</t>
  </si>
  <si>
    <t>Кронштейн коньковый                       Grand Line</t>
  </si>
  <si>
    <t>Объем заказа:</t>
  </si>
  <si>
    <r>
      <rPr>
        <b/>
        <sz val="21"/>
        <rFont val="Arial"/>
        <family val="2"/>
        <charset val="204"/>
      </rPr>
      <t>Gofr</t>
    </r>
    <r>
      <rPr>
        <sz val="21"/>
        <rFont val="Arial"/>
        <family val="2"/>
        <charset val="204"/>
      </rPr>
      <t xml:space="preserve"> - металлический сайдинг с дополнительными рёбрами жесткости</t>
    </r>
  </si>
  <si>
    <r>
      <t>Металлический штакетник</t>
    </r>
    <r>
      <rPr>
        <sz val="21"/>
        <rFont val="Arial"/>
        <family val="2"/>
        <charset val="204"/>
      </rPr>
      <t xml:space="preserve"> М и П-образный изготавливается в количестве, кратном 10-ти единицам.</t>
    </r>
  </si>
  <si>
    <r>
      <t xml:space="preserve">Velur® 20
</t>
    </r>
    <r>
      <rPr>
        <sz val="21"/>
        <rFont val="Arial"/>
        <family val="2"/>
        <charset val="204"/>
      </rPr>
      <t>(ZA 265 г/кв.м.)</t>
    </r>
  </si>
  <si>
    <r>
      <t xml:space="preserve">Safari
</t>
    </r>
    <r>
      <rPr>
        <sz val="21"/>
        <rFont val="Arial"/>
        <family val="2"/>
        <charset val="204"/>
      </rPr>
      <t>(Zn 275 г/кв.м.)</t>
    </r>
  </si>
  <si>
    <r>
      <t xml:space="preserve">Quarzit lite
</t>
    </r>
    <r>
      <rPr>
        <sz val="21"/>
        <rFont val="Arial"/>
        <family val="2"/>
        <charset val="204"/>
      </rPr>
      <t>(ZA 265 г/кв.м.)</t>
    </r>
  </si>
  <si>
    <r>
      <t xml:space="preserve">Quarzit </t>
    </r>
    <r>
      <rPr>
        <b/>
        <sz val="21"/>
        <color indexed="10"/>
        <rFont val="Arial"/>
        <family val="2"/>
        <charset val="204"/>
      </rPr>
      <t xml:space="preserve">
</t>
    </r>
    <r>
      <rPr>
        <sz val="21"/>
        <rFont val="Arial"/>
        <family val="2"/>
        <charset val="204"/>
      </rPr>
      <t>(ZA 265 г/кв.м.)</t>
    </r>
  </si>
  <si>
    <r>
      <t xml:space="preserve">Quarzit Matt </t>
    </r>
    <r>
      <rPr>
        <b/>
        <sz val="21"/>
        <color indexed="10"/>
        <rFont val="Arial"/>
        <family val="2"/>
        <charset val="204"/>
      </rPr>
      <t xml:space="preserve">
</t>
    </r>
    <r>
      <rPr>
        <sz val="21"/>
        <rFont val="Arial"/>
        <family val="2"/>
        <charset val="204"/>
      </rPr>
      <t>(ZA 265 г/кв.м.)</t>
    </r>
  </si>
  <si>
    <r>
      <t xml:space="preserve">PE 
</t>
    </r>
    <r>
      <rPr>
        <sz val="20"/>
        <rFont val="Arial"/>
        <family val="2"/>
        <charset val="204"/>
      </rPr>
      <t>(Zn 100-180 г/кв.м.)</t>
    </r>
  </si>
  <si>
    <t>NoLock</t>
  </si>
  <si>
    <t>Проходной элемент прямой №1</t>
  </si>
  <si>
    <t>Проходной элемент прямой №2</t>
  </si>
  <si>
    <t>Проходной элемент прямой №3</t>
  </si>
  <si>
    <t>Проходной элемент прямой №5</t>
  </si>
  <si>
    <t>Проходной элемент прямой №7</t>
  </si>
  <si>
    <t>Проходной элемент прямой №6</t>
  </si>
  <si>
    <t>Корректор для ремонта царапин (12 мл.)</t>
  </si>
  <si>
    <t>Цена (цвета на складе/стандартные), 
руб.</t>
  </si>
  <si>
    <t>Цена (цвета под заказ/нестандартные), 
руб.</t>
  </si>
  <si>
    <t>Цвета универсальных снегозадержателей Optima на складе: RAL 3003,3005,3011,5005,6005,6020,7004,7024,8004,8017,8019,9006.</t>
  </si>
  <si>
    <t xml:space="preserve">Комплект включает в себя:
Привод Nice (Италия) Road400KIT
Встроенный блок управления
Встроенный радиоприемник
SMXI2 пульта Flo2R-S
Зубчатую рейку оцинкованную Alutech с креплением (Рейка оцинкованная зубчатая ROA8, болт с полукруглой головкой, профиль С, пластина закладная для профиля С, Скоба для профиля С)                                                         </t>
  </si>
  <si>
    <t>Комплект включает в себя :
Рейка оцинкованная зубчатая ROA8
Болт с полукруглой головкой
Пластина закладная для профиля С
Профиль С
Скоба для профиля С</t>
  </si>
  <si>
    <t>Саморез металл - дерево</t>
  </si>
  <si>
    <t>Саморез металл - металл</t>
  </si>
  <si>
    <t>Саморез ПШ</t>
  </si>
  <si>
    <t>Саморез ПШС</t>
  </si>
  <si>
    <t>Заклепки</t>
  </si>
  <si>
    <t>Ширина профиля,мм</t>
  </si>
  <si>
    <t>Длина, м
min/max</t>
  </si>
  <si>
    <t>Design</t>
  </si>
  <si>
    <t>0,45-0,5 / 30</t>
  </si>
  <si>
    <t>0,5/6,5</t>
  </si>
  <si>
    <t>0,5/8</t>
  </si>
  <si>
    <t>1,5-3</t>
  </si>
  <si>
    <t>0,5/12</t>
  </si>
  <si>
    <t>0,5/400</t>
  </si>
  <si>
    <t>0,5/6</t>
  </si>
  <si>
    <t>0,5/2,5</t>
  </si>
  <si>
    <t>RAL8017 на металлочерепицу,профнастил С8,С10,С20,С21,плоский лист-стандартные сроки</t>
  </si>
  <si>
    <t>GL</t>
  </si>
  <si>
    <t>(Zn 275 г/кв.м)</t>
  </si>
  <si>
    <t>ZN 
0,5 (275 г/кв.м)</t>
  </si>
  <si>
    <t>Ширина профиля, мм</t>
  </si>
  <si>
    <t>1000х1000х70</t>
  </si>
  <si>
    <r>
      <t xml:space="preserve">Стойка для полиграфии настенная </t>
    </r>
    <r>
      <rPr>
        <b/>
        <sz val="24"/>
        <color rgb="FFFF0000"/>
        <rFont val="Arial"/>
        <family val="2"/>
        <charset val="204"/>
      </rPr>
      <t>NEW</t>
    </r>
  </si>
  <si>
    <r>
      <t xml:space="preserve">Cтенд "Преимущества крашеной обратки" </t>
    </r>
    <r>
      <rPr>
        <b/>
        <sz val="24"/>
        <color rgb="FFFF0000"/>
        <rFont val="Arial"/>
        <family val="2"/>
        <charset val="204"/>
      </rPr>
      <t>NEW</t>
    </r>
  </si>
  <si>
    <t>Стенд "Фальцевая кровля"</t>
  </si>
  <si>
    <t>800х460х30</t>
  </si>
  <si>
    <t>1200х800х200</t>
  </si>
  <si>
    <t>Колпак на столбы для ограждений 390*390**</t>
  </si>
  <si>
    <r>
      <t xml:space="preserve">Установите ширину заготовки (в мм) </t>
    </r>
    <r>
      <rPr>
        <b/>
        <u/>
        <sz val="16"/>
        <rFont val="Arial"/>
        <family val="2"/>
        <charset val="204"/>
      </rPr>
      <t>нестандартного доборного элемента ***</t>
    </r>
  </si>
  <si>
    <t>*** -  Внимание! Ширина заготовки может быть изменена, в связи с ограниченными возможностями оборудования по изготовлению нестандартных доборных элементов</t>
  </si>
  <si>
    <t>** - Колпак для столбов ограждений 390*390 в цветах RAL 3005, RAL 6005, RAL 8017 (толщина стали 0,45мм) является складской позицией и доступен для заказа без ограничений.</t>
  </si>
  <si>
    <r>
      <t xml:space="preserve">Все остальные колпаки считаются нестандартными, для расчёта их стоимости воспользуйтесь таблицей. </t>
    </r>
    <r>
      <rPr>
        <b/>
        <sz val="16"/>
        <color rgb="FFFF0000"/>
        <rFont val="Arial"/>
        <family val="2"/>
        <charset val="204"/>
      </rPr>
      <t>Возможность изготовления нестандарт. колпаков свыше 2,5х1,5м уточняйте у менеджера!</t>
    </r>
  </si>
  <si>
    <t>Ликвидация остатков</t>
  </si>
  <si>
    <t xml:space="preserve">Толщина металла, мм </t>
  </si>
  <si>
    <t>Металлочерепица Kamea</t>
  </si>
  <si>
    <t>Металл по акции</t>
  </si>
  <si>
    <t>стандартные цвета</t>
  </si>
  <si>
    <t>J-профиль универсальный  7/8'' 3,00</t>
  </si>
  <si>
    <t>Цена дил, руб.</t>
  </si>
  <si>
    <t>Профнастил GL20 (С10)</t>
  </si>
  <si>
    <t>Гарантия Grand Line</t>
  </si>
  <si>
    <r>
      <rPr>
        <b/>
        <i/>
        <sz val="14"/>
        <color rgb="FFFF0000"/>
        <rFont val="Arial Cyr"/>
        <charset val="204"/>
      </rPr>
      <t>СУПЕР</t>
    </r>
    <r>
      <rPr>
        <b/>
        <sz val="14"/>
        <color rgb="FFFF0000"/>
        <rFont val="Arial Cyr"/>
        <charset val="204"/>
      </rPr>
      <t xml:space="preserve"> ликвидация</t>
    </r>
  </si>
  <si>
    <t xml:space="preserve">Аэроэлемент конька/хребта с перф. коричневый 220х5000 BWK </t>
  </si>
  <si>
    <t>Лента вентиляционная ПВХ (коричневая/белая NEW) 100х5000 BWK</t>
  </si>
  <si>
    <t>DRIPSTOP (пн, пл) (На заказы менее 50 кв.м. DRIPSTOP не наносится!)</t>
  </si>
  <si>
    <r>
      <t xml:space="preserve">DRIPSTOP (пн, пл) </t>
    </r>
    <r>
      <rPr>
        <sz val="21"/>
        <rFont val="Arial"/>
        <family val="2"/>
        <charset val="204"/>
      </rPr>
      <t>(на заказы менее 50 кв.м. DRIPSTOP не наносится!)</t>
    </r>
  </si>
  <si>
    <r>
      <t xml:space="preserve">Ре двс
</t>
    </r>
    <r>
      <rPr>
        <sz val="20"/>
        <rFont val="Arial"/>
        <family val="2"/>
        <charset val="204"/>
      </rPr>
      <t>(Zn 100-180 г/кв.м.)</t>
    </r>
  </si>
  <si>
    <t xml:space="preserve">Водосточная система Grand Line® изготовлена из оцинкованной стали с двухсторонним полимерным покрытием Granite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</si>
  <si>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и покрытием Aluzinc.</t>
  </si>
  <si>
    <t>Планка конька треугольного</t>
  </si>
  <si>
    <t>устройство коньков, ребер</t>
  </si>
  <si>
    <t>Заглушка конька треугольного</t>
  </si>
  <si>
    <t>Планка конька треугольного большая</t>
  </si>
  <si>
    <t>Заглушка конька треугольного большая</t>
  </si>
  <si>
    <t>Планка конька круглого</t>
  </si>
  <si>
    <t>Заглушка конька круглого</t>
  </si>
  <si>
    <t>Ендова**</t>
  </si>
  <si>
    <t>Декоративная планка ендовы</t>
  </si>
  <si>
    <t>декоративная отделка ендовы (ендова верхняя)</t>
  </si>
  <si>
    <t>Планка карнизная большая</t>
  </si>
  <si>
    <t>Планка карнизная малая</t>
  </si>
  <si>
    <t>Планка ветровой доски</t>
  </si>
  <si>
    <t>отделка ветровой (лобовой) доски (на карнизе и торцах)</t>
  </si>
  <si>
    <t>Планка фронтонная</t>
  </si>
  <si>
    <t>отделка фронтонов, торцов кровли</t>
  </si>
  <si>
    <t>Планка бокового примыкания</t>
  </si>
  <si>
    <t>Планка бокового фартука</t>
  </si>
  <si>
    <t>Планка защиты</t>
  </si>
  <si>
    <t>прижимная планка для оформления примыкания к трубе при использовании ленты примыкания</t>
  </si>
  <si>
    <t>изготовление доборных элементов</t>
  </si>
  <si>
    <t>1250 х 1000 мм</t>
  </si>
  <si>
    <t>Ремонтный комплект</t>
  </si>
  <si>
    <t>комп.</t>
  </si>
  <si>
    <t xml:space="preserve">Гвозди </t>
  </si>
  <si>
    <t>Крепление коньковой обрешетки</t>
  </si>
  <si>
    <t>В наличии на складе Grand Line цвета: капучино, кленовый латте, мятный мокко, шоколад</t>
  </si>
  <si>
    <t>* цвета эспрессо и клубничный раф поставляются под заказ. Срок поставки от 21 дня, точные сроки узнавайте у менеджеров.</t>
  </si>
  <si>
    <t>** планка ендовы производится из металла без посыпки, поктырие и цвет металла зависит от цвета композитной черепицы</t>
  </si>
  <si>
    <t>3 Композитная черепица Grand Line</t>
  </si>
  <si>
    <t>4 Композитная черепица Decra</t>
  </si>
  <si>
    <t>Ножницы радиусные левые</t>
  </si>
  <si>
    <t>Ножницы радиусные правые</t>
  </si>
  <si>
    <t>Инструмент для подгиба карнизного свеса</t>
  </si>
  <si>
    <t>Киянка прямоугольная</t>
  </si>
  <si>
    <t>под заказ</t>
  </si>
  <si>
    <t>Клещи 45 град 80мм накладное соед.</t>
  </si>
  <si>
    <t>Для формирования элементов примыкания на фальц. кровле</t>
  </si>
  <si>
    <t>Кровельные клещи для формирования примыкания плоского листа и фальцевых картин к стене и трубам</t>
  </si>
  <si>
    <t>Клещи для конвертов сквозное соед.</t>
  </si>
  <si>
    <t>Клещи "Гофра" прямые усиленные</t>
  </si>
  <si>
    <t>Уровень строительный ADA Titan 600 (60 см)</t>
  </si>
  <si>
    <t>Уровень строительный ADA Titan 800 (80 см)</t>
  </si>
  <si>
    <t>Уровень строительный ADA Titan 1000 (100 см)</t>
  </si>
  <si>
    <t>Кровельный циркуль 200 мм</t>
  </si>
  <si>
    <t>Магнитная насадка 8х45 / 8х48</t>
  </si>
  <si>
    <t>Дополнительный Li-Ion аккумулятор к шуруповерту</t>
  </si>
  <si>
    <t>Стенд водостока GL 125/90+150/100</t>
  </si>
  <si>
    <r>
      <t xml:space="preserve">Сопутствующие товары </t>
    </r>
    <r>
      <rPr>
        <b/>
        <sz val="30"/>
        <color rgb="FFFF0000"/>
        <rFont val="Arial"/>
        <family val="2"/>
        <charset val="204"/>
      </rPr>
      <t>- Grand Line рекомендует!</t>
    </r>
  </si>
  <si>
    <r>
      <t xml:space="preserve">Сопутствующие товары </t>
    </r>
    <r>
      <rPr>
        <b/>
        <sz val="22"/>
        <color rgb="FFFF0000"/>
        <rFont val="Arial"/>
        <family val="2"/>
        <charset val="204"/>
      </rPr>
      <t>- Grand Line рекомендует!</t>
    </r>
  </si>
  <si>
    <t>Optima A паропроницаемая ветро-влагозащита</t>
  </si>
  <si>
    <t>Паропроницаемая ветро-влагозащита</t>
  </si>
  <si>
    <t>35м.кв.-689</t>
  </si>
  <si>
    <t>70м.кв.-1353</t>
  </si>
  <si>
    <t>Снегозадержатели</t>
  </si>
  <si>
    <t>Кровельные ограждения</t>
  </si>
  <si>
    <r>
      <t xml:space="preserve">Atlas® </t>
    </r>
    <r>
      <rPr>
        <b/>
        <sz val="21"/>
        <color rgb="FFFF0000"/>
        <rFont val="Arial"/>
        <family val="2"/>
        <charset val="204"/>
      </rPr>
      <t>NEW</t>
    </r>
    <r>
      <rPr>
        <b/>
        <sz val="21"/>
        <rFont val="Arial"/>
        <family val="2"/>
        <charset val="204"/>
      </rPr>
      <t xml:space="preserve">
</t>
    </r>
    <r>
      <rPr>
        <sz val="21"/>
        <rFont val="Arial"/>
        <family val="2"/>
        <charset val="204"/>
      </rPr>
      <t>(ZA 265 г/кв.м.)</t>
    </r>
  </si>
  <si>
    <r>
      <t xml:space="preserve">Сопутствующие товары - </t>
    </r>
    <r>
      <rPr>
        <b/>
        <sz val="22"/>
        <color rgb="FFFF0000"/>
        <rFont val="Arial"/>
        <family val="2"/>
        <charset val="204"/>
      </rPr>
      <t>Grand Line рекомендует!</t>
    </r>
  </si>
  <si>
    <t>Atlas</t>
  </si>
  <si>
    <t>Мягкая черепица SHINGLAS</t>
  </si>
  <si>
    <t xml:space="preserve">Наименование </t>
  </si>
  <si>
    <t>Вид текстуры</t>
  </si>
  <si>
    <t>Руб/кв.м.</t>
  </si>
  <si>
    <t>Руб/упак.</t>
  </si>
  <si>
    <t>Финская черепица (sonata)</t>
  </si>
  <si>
    <t>красный, зеленый, серый, коричневый</t>
  </si>
  <si>
    <t>3 м²</t>
  </si>
  <si>
    <t xml:space="preserve"> РАНЧО (драконий зуб)</t>
  </si>
  <si>
    <t>красный, серый, коричневый</t>
  </si>
  <si>
    <t>2 м²</t>
  </si>
  <si>
    <t>КАНТРИ (драконий зуб)</t>
  </si>
  <si>
    <t>2,6 м²</t>
  </si>
  <si>
    <t>КАДРИЛЬ (sonata)</t>
  </si>
  <si>
    <t>красный, коричневый, красно-коричневый, зеленый, виски</t>
  </si>
  <si>
    <t>КАДРИЛЬ (accord)</t>
  </si>
  <si>
    <t>Аккорд-сандал, Аккорд-миндаль, Аккорд-олива, Аккорд-коричневый</t>
  </si>
  <si>
    <t>ФЛАМЕНКО (trio)</t>
  </si>
  <si>
    <t>Арагон, Гранада, Толедо, Валенсия, Коричневый, Антик</t>
  </si>
  <si>
    <t>ТАНГО (tango) *</t>
  </si>
  <si>
    <t>красный, зеленый, осенний, панговый</t>
  </si>
  <si>
    <t>САМБА (sonata)</t>
  </si>
  <si>
    <t>красный, коричневый, зеленый</t>
  </si>
  <si>
    <t>ДЖАЙВ (accord)</t>
  </si>
  <si>
    <t>красный, коричневый, зеленый, серый</t>
  </si>
  <si>
    <t>синий</t>
  </si>
  <si>
    <t>ФОКСТРОТ (accord)</t>
  </si>
  <si>
    <t>миндаль, неро, олива, сандал</t>
  </si>
  <si>
    <t>ДЖАЗ (драконий зуб)</t>
  </si>
  <si>
    <t>ВЕСТЕРН</t>
  </si>
  <si>
    <t>каньон, клондайк, ниагара, прерия</t>
  </si>
  <si>
    <t>1,5 м²</t>
  </si>
  <si>
    <t>КОНТИНЕНТ</t>
  </si>
  <si>
    <t>Азия, Америка, Африка, Европа</t>
  </si>
  <si>
    <t>Товар продается кратно упаковкам.</t>
  </si>
  <si>
    <t>Возможный вид текстуры:</t>
  </si>
  <si>
    <t>Комплектующие к мягкой кровле</t>
  </si>
  <si>
    <t>упаковка, 5 м²=12 п/м конька = 20 п/м карниза</t>
  </si>
  <si>
    <t>упак.</t>
  </si>
  <si>
    <t>Ендовный ковер</t>
  </si>
  <si>
    <t>рулон, 10 м² (10х1)</t>
  </si>
  <si>
    <t>Ковер подкладочный самоклеющийся ANDEREP ULTRA</t>
  </si>
  <si>
    <t>рулон, 15 м² (15х1)</t>
  </si>
  <si>
    <t>рулон, 40 м² (40х1)</t>
  </si>
  <si>
    <t>черный</t>
  </si>
  <si>
    <t>1 пачка 5кг</t>
  </si>
  <si>
    <t>кг</t>
  </si>
  <si>
    <t>Ковер подкладочный Fel*Х</t>
  </si>
  <si>
    <t xml:space="preserve">рулон, 40 м² (40х1), плотность 500 г/м² </t>
  </si>
  <si>
    <t>Конек/карниз и Ендовый ковер - продаются кратно упаковкам.</t>
  </si>
  <si>
    <t>Магнитная насадка 8х45 для саморезов</t>
  </si>
  <si>
    <t>Толщина гонта, мм</t>
  </si>
  <si>
    <t>Гарантия, лет</t>
  </si>
  <si>
    <t>5,4 (+/-0,2)</t>
  </si>
  <si>
    <t>3,3 (+/-0,2)</t>
  </si>
  <si>
    <t xml:space="preserve">        Наименование</t>
  </si>
  <si>
    <t>Длина планки</t>
  </si>
  <si>
    <t xml:space="preserve">Цена руб. </t>
  </si>
  <si>
    <t xml:space="preserve"> Zn</t>
  </si>
  <si>
    <t>Quarzit Lite</t>
  </si>
  <si>
    <t>Планка ветровая двойная завальцовка 60*30*90 мм</t>
  </si>
  <si>
    <t>2м/3м</t>
  </si>
  <si>
    <t>Планка ветровая простая 100*20*100 мм</t>
  </si>
  <si>
    <t>Планка ветровая простая 130*25*100 мм</t>
  </si>
  <si>
    <t>Планка капельник 100*60 мм</t>
  </si>
  <si>
    <t>Планка капельник 135*50 мм</t>
  </si>
  <si>
    <t>Krovent KTV - кровельный вентиль для мягкой черепицы</t>
  </si>
  <si>
    <t>Доборные элементы для мягкой кровли</t>
  </si>
  <si>
    <t>Алабама,Аризона,Атланта,Мичиган,Огайо,Онтарио,Техас,Юта</t>
  </si>
  <si>
    <t>Аликанте,Барселона,Индиго,Кастилия,Коррида,Севилья, Терра,Тоскана</t>
  </si>
  <si>
    <r>
      <t xml:space="preserve">Сопутствующие товары </t>
    </r>
    <r>
      <rPr>
        <b/>
        <sz val="12"/>
        <color rgb="FFFF0000"/>
        <rFont val="Arial"/>
        <family val="2"/>
        <charset val="204"/>
      </rPr>
      <t>- Grand Line рекомендует!</t>
    </r>
  </si>
  <si>
    <t>ведро 12кг</t>
  </si>
  <si>
    <t>ведро 3,6кг</t>
  </si>
  <si>
    <t>Скобы для степлера 10х0,7мм/12х0,7мм/14х0,7мм (53 Тип) </t>
  </si>
  <si>
    <r>
      <t xml:space="preserve">Сопутствующие товары </t>
    </r>
    <r>
      <rPr>
        <b/>
        <sz val="20"/>
        <color rgb="FFFF0000"/>
        <rFont val="Arial"/>
        <family val="2"/>
        <charset val="204"/>
      </rPr>
      <t>- Grand Line рекомендует!</t>
    </r>
  </si>
  <si>
    <t>гладкая поверхность</t>
  </si>
  <si>
    <t>текстурированная поверхность</t>
  </si>
  <si>
    <t>Satin 0,5</t>
  </si>
  <si>
    <t>Центральный банк Российской Федерации</t>
  </si>
  <si>
    <t>Базы данных</t>
  </si>
  <si>
    <t>Валюта</t>
  </si>
  <si>
    <r>
      <t>Код</t>
    </r>
    <r>
      <rPr>
        <sz val="1"/>
        <color theme="0"/>
        <rFont val="Arial"/>
        <family val="2"/>
        <charset val="204"/>
      </rPr>
      <t>   </t>
    </r>
  </si>
  <si>
    <t>Доллар США</t>
  </si>
  <si>
    <t>R01235</t>
  </si>
  <si>
    <t>База данных по курсам валют</t>
  </si>
  <si>
    <t>Евро</t>
  </si>
  <si>
    <t>R01239</t>
  </si>
  <si>
    <t>Фунт стерлингов</t>
  </si>
  <si>
    <t>R01035</t>
  </si>
  <si>
    <t>Официальные курсы валют на заданную дату, устанавливаемые ежедневно</t>
  </si>
  <si>
    <t>Японская иена</t>
  </si>
  <si>
    <t>R01820</t>
  </si>
  <si>
    <t>Динамика официального курса заданной валюты</t>
  </si>
  <si>
    <t>Официальные курсы валют на заданную дату, устанавливаемые ежемесячно (до 11.01.2010)</t>
  </si>
  <si>
    <t>Курсы валют за период до 01.07.1992</t>
  </si>
  <si>
    <t>Официальные курсы Госбанка СССР</t>
  </si>
  <si>
    <t>текущая дата</t>
  </si>
  <si>
    <t>Архив информационных сообщений</t>
  </si>
  <si>
    <t>дата взятия курса</t>
  </si>
  <si>
    <t>Весь сайт</t>
  </si>
  <si>
    <t>курс евро</t>
  </si>
  <si>
    <t xml:space="preserve">Весь сайт </t>
  </si>
  <si>
    <t>закрыть</t>
  </si>
  <si>
    <t>RU</t>
  </si>
  <si>
    <t>EN</t>
  </si>
  <si>
    <t>c:        по:</t>
  </si>
  <si>
    <t>таблица</t>
  </si>
  <si>
    <t>график</t>
  </si>
  <si>
    <t>e-mail</t>
  </si>
  <si>
    <t>Дата</t>
  </si>
  <si>
    <t>Единиц</t>
  </si>
  <si>
    <t>Курс</t>
  </si>
  <si>
    <t>Standart D 110</t>
  </si>
  <si>
    <r>
      <t xml:space="preserve">Лента-герметик </t>
    </r>
    <r>
      <rPr>
        <b/>
        <sz val="24"/>
        <color indexed="10"/>
        <rFont val="Arial"/>
        <family val="2"/>
        <charset val="204"/>
      </rPr>
      <t>NICOBAND</t>
    </r>
    <r>
      <rPr>
        <b/>
        <sz val="24"/>
        <rFont val="Arial"/>
        <family val="2"/>
        <charset val="204"/>
      </rPr>
      <t xml:space="preserve"> - это удобный способ герметизации раз-
личных трещин и стыков. Применяется также для изоляции примы-
каний, ремонта кровельных покрытий крыш и водосточных систем.
Ассортимен ленты представлен в зелёном, красном, коричневом и 
серебристом цвете.</t>
    </r>
  </si>
  <si>
    <t>Anticondensat</t>
  </si>
  <si>
    <r>
      <t xml:space="preserve">Корректор для ремонта царапин (12 мл.)     </t>
    </r>
    <r>
      <rPr>
        <b/>
        <sz val="24"/>
        <color indexed="10"/>
        <rFont val="Arial"/>
        <family val="2"/>
        <charset val="204"/>
      </rPr>
      <t>NEW</t>
    </r>
  </si>
  <si>
    <t>История валюты: Евро</t>
  </si>
  <si>
    <t>О сайте</t>
  </si>
  <si>
    <t>Архив</t>
  </si>
  <si>
    <t>Поиск и карта сайта</t>
  </si>
  <si>
    <t>Другие ресурсы</t>
  </si>
  <si>
    <t>Адрес: ул. Неглинная, 12, Москва, 107016</t>
  </si>
  <si>
    <t>Телефоны: 8 800 250-40-72 (для бесплатных звонков из регионов России), +7 495 771-91-00 (круглосуточно, по рабочим дням), факс: +7 495 621-64-65</t>
  </si>
  <si>
    <t>Контактная информация</t>
  </si>
  <si>
    <t>Банк России не рассылает SMS-сообщения</t>
  </si>
  <si>
    <t>Вся официальная контактная информация Банка России представлена на официальном сайте Банка России www.cbr.ru</t>
  </si>
  <si>
    <t>По вопросам, связанным с работой сайта, обращайтесь по адресу: webmaster@www.cbr.ru</t>
  </si>
  <si>
    <t xml:space="preserve">розничная цена </t>
  </si>
  <si>
    <t>400;1100;2150</t>
  </si>
  <si>
    <t>Металлочерепица,композитная металлочерепица и фальцевая кровля</t>
  </si>
  <si>
    <r>
      <t xml:space="preserve">Colority®Print
</t>
    </r>
    <r>
      <rPr>
        <sz val="21"/>
        <rFont val="Arial"/>
        <family val="2"/>
        <charset val="204"/>
      </rPr>
      <t>(Zn 275 г/кв.м.)</t>
    </r>
  </si>
  <si>
    <r>
      <t xml:space="preserve">Colority®Print dp 
</t>
    </r>
    <r>
      <rPr>
        <sz val="21"/>
        <rFont val="Arial"/>
        <family val="2"/>
        <charset val="204"/>
      </rPr>
      <t>(Zn 275 г/кв.м.)</t>
    </r>
  </si>
  <si>
    <t xml:space="preserve">* - возвратная стоимость (с условиями возвратной стоимости ознакомтесь в "Каталоге стендов")
</t>
  </si>
  <si>
    <t>Скидка</t>
  </si>
  <si>
    <t>Толщина</t>
  </si>
  <si>
    <t>0,5 GL</t>
  </si>
  <si>
    <t>Quarzit</t>
  </si>
  <si>
    <t>RAL 3005</t>
  </si>
  <si>
    <t>RAL 6005</t>
  </si>
  <si>
    <t xml:space="preserve">Труба для снегозадержателя Grand Line овальная Zn/RAL 42*21 3,0 м - 2 шт 
Кронштейн универсальный Grand Line  Zn/RAL-4 шт
Саморез 8х60 - 8 шт
</t>
  </si>
  <si>
    <t xml:space="preserve">Резиновый уплотнитель ЭПДМ - 16 шт                                                                                                                                                                                                                          Болт М8х30 - 2 шт
Шайба А.8 - 2 шт
Гайка М8-7Н - 2 шт  </t>
  </si>
  <si>
    <t>Снегозадержатель для фальцевой кровли Grand Line 3 м</t>
  </si>
  <si>
    <r>
      <t xml:space="preserve">Труба для снегозадержателя Grand Line овальная Zn/RAl 42*21 3,0 м - 2 шт 
Кронштейн универсальный Grand Line  Zn/RAL-4 шт
</t>
    </r>
    <r>
      <rPr>
        <b/>
        <sz val="40"/>
        <color indexed="10"/>
        <rFont val="Arial"/>
        <family val="2"/>
        <charset val="204"/>
      </rPr>
      <t>(рекомендуем приобретать дополнительный кронштейн)</t>
    </r>
    <r>
      <rPr>
        <sz val="40"/>
        <color indexed="8"/>
        <rFont val="Arial"/>
        <family val="2"/>
        <charset val="204"/>
      </rPr>
      <t xml:space="preserve">
</t>
    </r>
    <r>
      <rPr>
        <sz val="40"/>
        <rFont val="Arial"/>
        <family val="2"/>
        <charset val="204"/>
      </rPr>
      <t xml:space="preserve"> </t>
    </r>
  </si>
  <si>
    <t xml:space="preserve">Скоба кронштейна для фальцевой кровли RAL RAL - 8 шт
Болт М8х30 - 10 шт
Шайба А.8 - 10 шт
Гайка М8-7Н - 10 шт </t>
  </si>
  <si>
    <r>
      <t>Труба для снегозадержателя Grand Line овальная Zn/RAL 42*21 1,0 м - 2 шт 
К</t>
    </r>
    <r>
      <rPr>
        <sz val="40"/>
        <rFont val="Arial"/>
        <family val="2"/>
        <charset val="204"/>
      </rPr>
      <t>ронштейн универсальный Grand Line Zn/RAL - 2 шт
Саморез 8х60 - 4 шт</t>
    </r>
  </si>
  <si>
    <t xml:space="preserve">Резиновый уплотнитель ЭПДМ - 8 шт                                                                                                                                                                                                                                 Болт М8х30 - 2 шт
Шайба А.8 - 2 шт
Гайка М8-7Н - 2 шт  </t>
  </si>
  <si>
    <t>Снегозадержатель для фальцевой кровли  Grand Line 1 м</t>
  </si>
  <si>
    <t>Труба для снегозадержателя Grand Line овальная  Zn/RAL 42*21 1,0 м - 2 шт 
Кронштейн универсальный Grand Line Zn/RAL- 2 шт
Скоба кронштейна для фальцевой кровли  RAL - 4 шт</t>
  </si>
  <si>
    <t xml:space="preserve">Болт М8х30 - 6 шт
Шайба А.8 - 6 шт
Гайка М8-7Н - 6 шт  </t>
  </si>
  <si>
    <t>Кронштейн снегозадержателя универсальный  Zn//RAL - 1 шт</t>
  </si>
  <si>
    <t>Саморез 8х60 - 2 шт
Резиновый уплотнитель ЭПДМ - 4 шт</t>
  </si>
  <si>
    <t>Кронштейн универсальный Grand Line для фальцевой кровли</t>
  </si>
  <si>
    <r>
      <t xml:space="preserve">Кронштейн снегозадержателя универсальный  Zn//RAL - 1 шт
</t>
    </r>
    <r>
      <rPr>
        <sz val="40"/>
        <rFont val="Arial"/>
        <family val="2"/>
        <charset val="204"/>
      </rPr>
      <t>Скоба кронштейна для фальцевой кровли  RAL - 2 шт</t>
    </r>
  </si>
  <si>
    <t xml:space="preserve">Болт М8х30 - 2 шт
Шайба А.8 - 2 шт
Гайка М8-7Н - 2 шт  </t>
  </si>
  <si>
    <t>Пластина кронштейна для фальцевой кровли Grand Line Zn/RAL - 1 шт</t>
  </si>
  <si>
    <t>Гайка М8 - 6 шт         
Болт М8х30- 6 шт           
Шайба А.8 - 6 шт</t>
  </si>
  <si>
    <t>Скоба кронштейна для фальцевой кровли  RAL-2 шт
Болт М8х30 - 2 шт</t>
  </si>
  <si>
    <t xml:space="preserve">Шайба А.8 - 2 шт
Гайка М8-7Н - 2 шт  </t>
  </si>
  <si>
    <t>Полотно мостика переходного Grand Line Zn/RAL 3,0 м - 1 шт
Кронштейн универсальный Grand Line Zn/RAL - 6 шт
Пластина мостика переходного Grand Line Zn/RAL - 3 шт
Саморез 8х60 DIN 571 - 6 шт</t>
  </si>
  <si>
    <t>Болт М8х25 - 18 шт
Гайка М8 - 18 шт         
Шайба 8Г - 18 шт
Шайба А.8 - 21 шт
Резиновый уплотнитель ЭПДМ - 12 шт</t>
  </si>
  <si>
    <t>Полотно мостика переходного Grand Line Zn/RAL 1,0 м - 1 шт
Кронштейн универсальный Grand Line Zn/RAL- 4 шт
Пластина мостика переходного Grand Line Zn/RAL- 2 шт  
Саморез 8х60 DIN 571 - 4 шт</t>
  </si>
  <si>
    <t xml:space="preserve">Болт М8х25 - 12 шт
Гайка М8 - 12 шт
Шайба 8Г - 12 шт
Шайба А.8 -14 шт
Резиновый уплотнитель ЭПДМ -8 шт </t>
  </si>
  <si>
    <t xml:space="preserve">Полотно мостика переходного Grand Line Zn/RAL 3,0 м - 1 шт   </t>
  </si>
  <si>
    <t xml:space="preserve">Полотно мостика переходного Grand Line Zn/RAL 1,0 м - 1 шт   </t>
  </si>
  <si>
    <t>Кронштейн универсальный Grand Line Zn/RAL - 2 шт
Пластина кровельного мостика Zn/RAL - 1 шт
Саморез 8х60 - 2 шт
Резиновый уплотнитель ЭПДМ - 4 шт</t>
  </si>
  <si>
    <t xml:space="preserve">Болт М8х20 - 6 шт
Шайба 8Г - 6 шт
Шайба А.8 - 6 шт
Гайка М8-7Н - 6 шт  </t>
  </si>
  <si>
    <t>Кронштейн универсальный Grand Line Zn/RAL - 2 шт
Пластина кровельного мостика Zn/RAL - 1 шт
Пластина кронштейна для фальцевой кровли - 1 шт
Болт М8х20 - 6 шт</t>
  </si>
  <si>
    <t xml:space="preserve">Болт М8х30 - 6 шт
Шайба 8Г - 6 шт
Шайба А.8 - 12 шт
Гайка М8-7Н - 12 шт  </t>
  </si>
  <si>
    <t>Лестница кровельная               Grand Line 3 м 
в комплекте с крепежом*</t>
  </si>
  <si>
    <t xml:space="preserve">Полотно лесницы Grand Line Zn/RAL 3,0 м - 1 шт
Кронштейн опорный - 10 шт
Кронштейн коньковый Zn/RAL - 2 шт                                                                                                                                                                                                               </t>
  </si>
  <si>
    <t>Болт М8х35 - 4 шт                                                                                                                                                                                                                                               Гайка М8 - 4 шт                                                                                                                          Шайба А.8 – 4 шт</t>
  </si>
  <si>
    <t xml:space="preserve">Полотно лестницы Grand Line </t>
  </si>
  <si>
    <t>Полотно лесницы Grand Line Zn/RAL 3,0 м - 1 шт
Болт М8х35 - 2 шт</t>
  </si>
  <si>
    <t>Гайка М8 - 2 шт                                                                                                                      Шайба А.8 – 2 шт</t>
  </si>
  <si>
    <t>Кронштейн опорный для лестницы Grand Line</t>
  </si>
  <si>
    <t>Кронштейн коньковый Zn/RAL - 1 шт
Болт М8х35 - 1 шт</t>
  </si>
  <si>
    <t>Гайка М8 - 1 шт                                                                                                                      Шайба А.8 – 1 шт</t>
  </si>
  <si>
    <r>
      <t xml:space="preserve">Кронштейн кровельный 
Grand Line
</t>
    </r>
    <r>
      <rPr>
        <b/>
        <sz val="41"/>
        <color indexed="10"/>
        <rFont val="Arial"/>
        <family val="2"/>
        <charset val="204"/>
      </rPr>
      <t>(для лестниц длиной 5 м и больше)*</t>
    </r>
  </si>
  <si>
    <r>
      <t>Опора  Zn/RAL - 2 шт
Саморез кровельный 4,8*25 -</t>
    </r>
    <r>
      <rPr>
        <sz val="40"/>
        <rFont val="Arial"/>
        <family val="2"/>
        <charset val="204"/>
      </rPr>
      <t xml:space="preserve">6 шт.    </t>
    </r>
    <r>
      <rPr>
        <sz val="40"/>
        <color indexed="8"/>
        <rFont val="Arial"/>
        <family val="2"/>
        <charset val="204"/>
      </rPr>
      <t xml:space="preserve">
Болт М8*40 - 2 шт</t>
    </r>
    <r>
      <rPr>
        <sz val="40"/>
        <rFont val="Arial"/>
        <family val="2"/>
        <charset val="204"/>
      </rPr>
      <t xml:space="preserve">        </t>
    </r>
  </si>
  <si>
    <t xml:space="preserve">Гайка М8 - 2 шт                                                                                                                            Шайба А.8 – 2 шт
Резиновый уплотнитель ЭПДМ - 6 шт </t>
  </si>
  <si>
    <r>
      <t>Полотно лестницы Grand Line  Zn/RAL 3,0 м - 1 шт
Дуговой поручень  Zn/RAL - 2 шт
Кронштейн стеновой  Zn/RAL 1,0 м - 4 шт
Соединительная накладка Zn/RAL  - 8 шт
Кронштейн карнизный  Zn/RAL - 2 шт</t>
    </r>
    <r>
      <rPr>
        <sz val="40"/>
        <color indexed="8"/>
        <rFont val="Arial"/>
        <family val="2"/>
        <charset val="204"/>
      </rPr>
      <t xml:space="preserve">       
L-кронштейн крепления к кровле  Zn/RAL - 2 шт</t>
    </r>
  </si>
  <si>
    <t xml:space="preserve">U-кронштейн крепления к кровельной лестнице Zn/RAL  - 2 шт
Болт М8х16 - 12 шт
Болт М8х40 - 12 шт      
Гайка М8 - 24 шт                                                                                                                     Шайба А.8 - 24 шт  </t>
  </si>
  <si>
    <t>Полотно лестницы Grand Line Zn/RAL 3,0 м - 1 шт
Болт М8х35 - 2 шт</t>
  </si>
  <si>
    <t>Гайка М8 - 2 шт                                                                                                                          Шайба А.8 - 2шт.</t>
  </si>
  <si>
    <t>Дуговой поручень  Grand Line</t>
  </si>
  <si>
    <t>Дуговой поручень  Zn/RAL - 1 шт</t>
  </si>
  <si>
    <t>Кронштейн стеновой                        Grand Line</t>
  </si>
  <si>
    <t>Кронштейн стеновой  Zn/RAL 1,0 м - 1 шт
Соединительная накладка Zn/RAL  - 2 шт
Болт М8х16 - 3 шт</t>
  </si>
  <si>
    <t xml:space="preserve">Болт М8х40 - 1 шт
Гайка М8 - 4 шт                                                                                                                                  Шайба А.8 - 4 шт </t>
  </si>
  <si>
    <t>Кронштейн карнизный                           Grand Line</t>
  </si>
  <si>
    <t>Кронштейн карнизный  Zn/RAL - 1 шт
Болт М8х40 - 1 шт</t>
  </si>
  <si>
    <t>Гайка М8 - 1 шт                                                                                                                          Шайба А.8 - 1 шт</t>
  </si>
  <si>
    <t>L-кронштейн                              Grand Line</t>
  </si>
  <si>
    <t>L-кронштейн крепления к кровле  Zn/RAL - 1 шт
Болт М8х40 - 1 шт</t>
  </si>
  <si>
    <t>Гайка М8 - 1 шт                                                                                                                       Шайба А.8 - 1 шт</t>
  </si>
  <si>
    <t xml:space="preserve">U-кронштейн                                   Grand Line </t>
  </si>
  <si>
    <t>U-кронштейн крепления к кровельной лестнице Zn/RAL  - 1 шт
Болт М8х40 - 1 шт</t>
  </si>
  <si>
    <t>Гайка М8 - 1 шт                                                                                                                             Шайба А.8 - 1 шт</t>
  </si>
  <si>
    <t>Комплект: Промышленный замок в металлическом корпусе*</t>
  </si>
  <si>
    <t>Замок LAKQ6060 (4040) U2**</t>
  </si>
  <si>
    <t>6005, 9005, Алюминий</t>
  </si>
  <si>
    <t>Ответная планка SAKL QF</t>
  </si>
  <si>
    <t>40мм</t>
  </si>
  <si>
    <t>Упорная часть</t>
  </si>
  <si>
    <t>Алюминий с резиновыми полосами</t>
  </si>
  <si>
    <t>Комплект: Электро механический замок в металлическом корпусе*</t>
  </si>
  <si>
    <t>LEKQ6060 U4</t>
  </si>
  <si>
    <t>Комплект : Замок в полиамидном корпусе*</t>
  </si>
  <si>
    <t>LAKZ6060 (4040) P1**</t>
  </si>
  <si>
    <t>Комплект: Врезной замок HYBRID*</t>
  </si>
  <si>
    <t>Цвет алюминий</t>
  </si>
  <si>
    <t>Комплект: Замок для откатных ворот*</t>
  </si>
  <si>
    <t>LSKZ6060 U2</t>
  </si>
  <si>
    <t>&gt;</t>
  </si>
  <si>
    <t>Нержавеющая сталь</t>
  </si>
  <si>
    <t>Алюминий</t>
  </si>
  <si>
    <t xml:space="preserve">Комплект: Замок для калитки Medium из 51 трубы* </t>
  </si>
  <si>
    <t xml:space="preserve">Ответная планка Medium RAL 6005 </t>
  </si>
  <si>
    <t>только для калитки Medium из 51 трубы</t>
  </si>
  <si>
    <t>Ответная планка из полиамида</t>
  </si>
  <si>
    <t>SMKL QF</t>
  </si>
  <si>
    <t>GBMU4DSHIELD12</t>
  </si>
  <si>
    <t>GBMU4DSHIELD16</t>
  </si>
  <si>
    <t xml:space="preserve"> GAM12 130 мм </t>
  </si>
  <si>
    <t xml:space="preserve"> GAM12 150 мм </t>
  </si>
  <si>
    <t xml:space="preserve">Полиэтилен армированный стекловолокном                     </t>
  </si>
  <si>
    <t>Доводчик 250</t>
  </si>
  <si>
    <t>Доводчик гидравлический</t>
  </si>
  <si>
    <t>MAMMOTH</t>
  </si>
  <si>
    <t>Регулируемые скорость и сила закрытия</t>
  </si>
  <si>
    <t>Доводчик регулируемый (без рельсы)</t>
  </si>
  <si>
    <r>
      <t>*Стоимость комплекта складывается из замка (ручки, цилиндр, ключи – отдельно не продаются) и ответной планки
**6060 (4040) – поддерживается на складе для 60 и 40 профиля
Дополнительно можно заказать любую продукцию из каталога Locinox, сроки поставки и цену узнавайте в отделах продаж</t>
    </r>
    <r>
      <rPr>
        <sz val="11"/>
        <color indexed="8"/>
        <rFont val="Arial"/>
        <family val="2"/>
        <charset val="204"/>
      </rPr>
      <t xml:space="preserve">
</t>
    </r>
  </si>
  <si>
    <t>Комплект табличек для металлочерепицы
(4 шт. в упаковке)</t>
  </si>
  <si>
    <t>Цена (цвета на складе), руб.</t>
  </si>
  <si>
    <t>Цена (цвета на заказ), руб.</t>
  </si>
  <si>
    <t>Minima D98</t>
  </si>
  <si>
    <t>Minima Н98</t>
  </si>
  <si>
    <t>Alum H90</t>
  </si>
  <si>
    <t>устройство коньков, ребер между несимметричными скатами</t>
  </si>
  <si>
    <t>Герметик</t>
  </si>
  <si>
    <t>Лента вентиляционная ПВХ (коричневая/белая) 100х5000 BWK (5м)</t>
  </si>
  <si>
    <t>Материал EPDM (до +135°C)</t>
  </si>
  <si>
    <t>Материал EPDM (до +185°C)</t>
  </si>
  <si>
    <t>Материал силикон (до +240°C)</t>
  </si>
  <si>
    <t>** - на складе до исчерпания остатков</t>
  </si>
  <si>
    <t>Гидроизоляционные и парогидроизоляционные материалы</t>
  </si>
  <si>
    <t>Страна производства</t>
  </si>
  <si>
    <t>Плотность, г/м.кв.</t>
  </si>
  <si>
    <t>Ед. измерения</t>
  </si>
  <si>
    <t>Гидроизоляционные пленки</t>
  </si>
  <si>
    <t>Гидроизоляционная мембрана Изоспан-АМ</t>
  </si>
  <si>
    <t xml:space="preserve">90 г/м² </t>
  </si>
  <si>
    <t>Мембрана Folder Comfort</t>
  </si>
  <si>
    <t>Польша</t>
  </si>
  <si>
    <t>Супердиффузионная мембрана Изоспан-АQ proff</t>
  </si>
  <si>
    <t xml:space="preserve">190 г/м² </t>
  </si>
  <si>
    <t>Супердиффузионная мембрана Folder Light*</t>
  </si>
  <si>
    <t xml:space="preserve">100 г/м² </t>
  </si>
  <si>
    <t>Пленка Folder гидроизоляция Anticondensat*</t>
  </si>
  <si>
    <t xml:space="preserve">135 г/м² </t>
  </si>
  <si>
    <t>Супердиффузионная мембрана  Tyvek® Soft</t>
  </si>
  <si>
    <t>Люксембург</t>
  </si>
  <si>
    <t xml:space="preserve">58 г/м² </t>
  </si>
  <si>
    <t xml:space="preserve">110 г/м² </t>
  </si>
  <si>
    <t>Супердиффузионная мембрана Tyvek® Solid</t>
  </si>
  <si>
    <t xml:space="preserve">82 г/м² </t>
  </si>
  <si>
    <t>Супердиффузионная мембрана  Folder Strong*</t>
  </si>
  <si>
    <t>Диффузионная пленка Delta-Vent N</t>
  </si>
  <si>
    <t>Германия</t>
  </si>
  <si>
    <t xml:space="preserve">130 г/м² </t>
  </si>
  <si>
    <t>Пленка Optima D (гидро-пароизоляция)</t>
  </si>
  <si>
    <t xml:space="preserve">85 г/м² </t>
  </si>
  <si>
    <t>Пленка Folder гидроизоляция Silver D98</t>
  </si>
  <si>
    <t xml:space="preserve">98 г/м² </t>
  </si>
  <si>
    <t>Пленка Folder гидроизоляция Standart D 110*</t>
  </si>
  <si>
    <t>Пленка Folder гидроизоляция Minima D98</t>
  </si>
  <si>
    <r>
      <rPr>
        <b/>
        <u/>
        <sz val="9"/>
        <color theme="1"/>
        <rFont val="Arial"/>
        <family val="2"/>
        <charset val="204"/>
      </rPr>
      <t>Ветро-влагозащита</t>
    </r>
    <r>
      <rPr>
        <b/>
        <sz val="9"/>
        <color theme="1"/>
        <rFont val="Arial"/>
        <family val="2"/>
        <charset val="204"/>
      </rPr>
      <t xml:space="preserve"> -  пленки с низкой водоупорностью, но с отличной паропропускной способностью и защитой от ветра. Применяются для защиты утеплителя в вентилируемом фасаде.  Не рекомендуются к использованию в кровельной конструкции. </t>
    </r>
  </si>
  <si>
    <t>Пленка Optima A (паропроницаемая ветро-влагозащита)</t>
  </si>
  <si>
    <t>Ветро-влагозащита для фасада Folder Facade</t>
  </si>
  <si>
    <t>Пароизоляционные пленки</t>
  </si>
  <si>
    <t>Пленка Optima B (пароизоляция)</t>
  </si>
  <si>
    <t xml:space="preserve">75 г/м² </t>
  </si>
  <si>
    <t>Пленка Optima C (универсальная гидро-пароизоляция)</t>
  </si>
  <si>
    <t>Пленка Folder пароизоляция Silver Н98</t>
  </si>
  <si>
    <t>Пленка Folder пароизоляция Minima Н98</t>
  </si>
  <si>
    <t>Пленка Folder пароизоляция Regulator</t>
  </si>
  <si>
    <t xml:space="preserve">108 г/м² </t>
  </si>
  <si>
    <t>Пленка Folder пароизоляция Alum H90</t>
  </si>
  <si>
    <t>Двусторонняя клейкая лента Изоспан KL (нетканная основа)</t>
  </si>
  <si>
    <t>0,038 х 50м</t>
  </si>
  <si>
    <t xml:space="preserve">Двусторонняя клейкая лента Изоспан KL+ (армированная диагональной сеткой) </t>
  </si>
  <si>
    <t>Клей для присоединения пароизоляции Delta-Tixx</t>
  </si>
  <si>
    <t>310 мл</t>
  </si>
  <si>
    <t>Клей из каучука Delta-Than</t>
  </si>
  <si>
    <t>0,06 х 25м</t>
  </si>
  <si>
    <t>* - под заказ!</t>
  </si>
  <si>
    <t>Ножницы подрезные левые M2006</t>
  </si>
  <si>
    <t>Ножницы подрезные правые M2007</t>
  </si>
  <si>
    <t>Молоток фальцевый</t>
  </si>
  <si>
    <t>Насадка на дрель для быстрого и удобного раскроя металла по гильотинному принципу без образования стружки и искр</t>
  </si>
  <si>
    <t>Композитная черепица Luxard (Россия)</t>
  </si>
  <si>
    <t xml:space="preserve">Лист плоский </t>
  </si>
  <si>
    <t>1250 x 450 мм</t>
  </si>
  <si>
    <t>1250 x 600 мм</t>
  </si>
  <si>
    <t>L = 395 мм</t>
  </si>
  <si>
    <t>Заглушка конька полукруглого</t>
  </si>
  <si>
    <t>95 х 148 мм</t>
  </si>
  <si>
    <t xml:space="preserve">Конек ребровой * </t>
  </si>
  <si>
    <t>L = 1250 мм</t>
  </si>
  <si>
    <t>Ендова</t>
  </si>
  <si>
    <t>Накладка на ендову *</t>
  </si>
  <si>
    <t>Торцевая планка левая</t>
  </si>
  <si>
    <t>Торцевая планка правая</t>
  </si>
  <si>
    <t xml:space="preserve">Карнизная планка </t>
  </si>
  <si>
    <t>Планка примыкания верхнего</t>
  </si>
  <si>
    <t>упаковка 500 шт</t>
  </si>
  <si>
    <t>упаковка 1000 шт</t>
  </si>
  <si>
    <t>Гранулят ремонтный</t>
  </si>
  <si>
    <t>канистра 1,8 кг</t>
  </si>
  <si>
    <t>Краска ремонтная</t>
  </si>
  <si>
    <t>канистра 1,0 л</t>
  </si>
  <si>
    <t>Вентилятор кровельный Luxard Classic*</t>
  </si>
  <si>
    <t>две волны</t>
  </si>
  <si>
    <t>Вентилятор кровельный Luxard Roman*</t>
  </si>
  <si>
    <t>Крепление коньковой/хребтовой обрешетки</t>
  </si>
  <si>
    <t>оцинкованная сталь</t>
  </si>
  <si>
    <t>Ребристый желобок для обустройства ендовы</t>
  </si>
  <si>
    <t>Зажим ендовы (скобка)</t>
  </si>
  <si>
    <t>Лента для примыкания гофр.алюм.</t>
  </si>
  <si>
    <t>300х5000 мм</t>
  </si>
  <si>
    <t>рул.</t>
  </si>
  <si>
    <t>6 Мягкая кровля</t>
  </si>
  <si>
    <t>5 Композитная черепица Luxard</t>
  </si>
  <si>
    <t>Ширина заготовки, в мм</t>
  </si>
  <si>
    <t>Quarzit Matt</t>
  </si>
  <si>
    <t>Quarzit matt</t>
  </si>
  <si>
    <t>Колпак на столбы для ограждений 400*400</t>
  </si>
  <si>
    <t>White Dub - Беленый дуб</t>
  </si>
  <si>
    <t>Cherry Wood - Бразильская вишня</t>
  </si>
  <si>
    <t>3009, 8017</t>
  </si>
  <si>
    <t>50(GL)*/400(Optima)</t>
  </si>
  <si>
    <t>Защелка Rohrfit для стыкующихся с желобом фиттингов</t>
  </si>
  <si>
    <t>PE dp® 0,5</t>
  </si>
  <si>
    <t>1,8*; 2*</t>
  </si>
  <si>
    <t>Fine Stone - Камень</t>
  </si>
  <si>
    <t>1015, 7004</t>
  </si>
  <si>
    <t>Насадка-ножницы Стальной бобёр для резки металла</t>
  </si>
  <si>
    <r>
      <rPr>
        <b/>
        <u/>
        <sz val="9"/>
        <color theme="1"/>
        <rFont val="Arial"/>
        <family val="2"/>
        <charset val="204"/>
      </rPr>
      <t xml:space="preserve">Супер-диффузионная мембрана (диффузионная мембрана) </t>
    </r>
    <r>
      <rPr>
        <b/>
        <sz val="9"/>
        <color theme="1"/>
        <rFont val="Arial"/>
        <family val="2"/>
        <charset val="204"/>
      </rPr>
      <t>- пленки с хорошими гидроизоляционными свойствами и высокой паропропускной способностью. Высокая степень пропускания пара позволяет монтировать эти пленки вплотную к утеплителю, экономив на дереве и стоимости работ для второго вентилируемого зазора. Используются для утепленных кровель и фасадов.</t>
    </r>
  </si>
  <si>
    <r>
      <rPr>
        <b/>
        <u/>
        <sz val="9"/>
        <color theme="1"/>
        <rFont val="Arial"/>
        <family val="2"/>
        <charset val="204"/>
      </rPr>
      <t>Гидроизоляционные пленки</t>
    </r>
    <r>
      <rPr>
        <b/>
        <sz val="9"/>
        <color theme="1"/>
        <rFont val="Arial"/>
        <family val="2"/>
        <charset val="204"/>
      </rPr>
      <t xml:space="preserve"> - пленки с низкой степенью пропускания пара, обычно используется при обустройстве холодной кровли. Эти пленки обладают отличной водоупорностью. При использовании данного типа пленок при обустройстве утепленной кровли необходимо делать 2 вентилируемых зазора - над пленокой и под пленокой. Вплотную к утеплителю монтировать такие пленки нельзя! </t>
    </r>
  </si>
  <si>
    <r>
      <rPr>
        <b/>
        <u/>
        <sz val="9"/>
        <color theme="1"/>
        <rFont val="Arial"/>
        <family val="2"/>
        <charset val="204"/>
      </rPr>
      <t>Стандартные пароизоляционные пленки</t>
    </r>
    <r>
      <rPr>
        <b/>
        <sz val="9"/>
        <color theme="1"/>
        <rFont val="Arial"/>
        <family val="2"/>
        <charset val="204"/>
      </rPr>
      <t xml:space="preserve"> -  пленки, которые создают паронепроницаемый барьер на внутренней поверхности теплоизоляции скатной кровли. </t>
    </r>
  </si>
  <si>
    <t xml:space="preserve">Соединительные ленты, скотчи, клеи предназначены для герметичного монтажа пароизоляции, гидроизоляции и ремонта пленок.
При монтаже пароизоляции использование лент и\или клея обязательно! Необходимо проклеивать как места перехлеста полотен, так и напуски на стены, трубы, различные конструкции кровли. </t>
  </si>
  <si>
    <t>Вес</t>
  </si>
  <si>
    <t>руб/м.кв</t>
  </si>
  <si>
    <t>руб/шт</t>
  </si>
  <si>
    <t>Сайдинг 
CEDRAL wood (фактура под дерево)</t>
  </si>
  <si>
    <t xml:space="preserve">10х190х3600 мм </t>
  </si>
  <si>
    <t>10,9 кг/шт</t>
  </si>
  <si>
    <t>Сайдинг
CEDRAL smooth (фактура гладкая)</t>
  </si>
  <si>
    <t>30/10/30/9, L=3м</t>
  </si>
  <si>
    <t xml:space="preserve">Профиль внутреннего угла </t>
  </si>
  <si>
    <t xml:space="preserve"> L=3м</t>
  </si>
  <si>
    <t>Внешний симметричный угловой профиль</t>
  </si>
  <si>
    <t>Внешний асимметричный угловой профиль</t>
  </si>
  <si>
    <t>Конечный профиль</t>
  </si>
  <si>
    <t>45/15/8, L=3м</t>
  </si>
  <si>
    <t>Перфорированный профиль</t>
  </si>
  <si>
    <t>50/30х2,5м</t>
  </si>
  <si>
    <t>Саморезы  по дереву 4,2х45</t>
  </si>
  <si>
    <t>(4,2х45, Нерж.ст., 1 упак. - 200 шт. + бита под шуруповерт)</t>
  </si>
  <si>
    <t>Саморезы  по металлу 4,2х30</t>
  </si>
  <si>
    <t>(4,2х30, Гальванизир., 1 упак. - 200 шт. + бита под шуруповерт)</t>
  </si>
  <si>
    <t xml:space="preserve">(4,2х52, 1 упк. - 200 шт.) </t>
  </si>
  <si>
    <t>Краска для ретуши</t>
  </si>
  <si>
    <t>(1 банка - 0,5 л.)</t>
  </si>
  <si>
    <t>Комплект монтажных кронштейнов</t>
  </si>
  <si>
    <t>2 шт.</t>
  </si>
  <si>
    <t>EPDM Лента 60 х 1мм</t>
  </si>
  <si>
    <t>(1 упаковка - 30 пог.м.)</t>
  </si>
  <si>
    <t>Фиброцементный сайдинг - Cedral click  (Eternit)</t>
  </si>
  <si>
    <t>Сайдинг CEDRAL click wood (фактура под дерево)</t>
  </si>
  <si>
    <t>3600х188х12 мм</t>
  </si>
  <si>
    <t>12,2 кг/шт</t>
  </si>
  <si>
    <t>Сайдинг CEDRAL click smooth (фактура гладкая)</t>
  </si>
  <si>
    <t>45/15/8 L=3м</t>
  </si>
  <si>
    <t>L=3,05м</t>
  </si>
  <si>
    <t xml:space="preserve">Внешний угловой профиль </t>
  </si>
  <si>
    <t>L=3м,</t>
  </si>
  <si>
    <t>Комплект "Кляммер + Саморез для кляммера"</t>
  </si>
  <si>
    <t>по дереву 
Нерж.ст., упак. - 250 шт.</t>
  </si>
  <si>
    <t>Комплект "Кляммер + Заклепка"</t>
  </si>
  <si>
    <t>по металлу
Нерж.ст., упак. - 250 шт.</t>
  </si>
  <si>
    <t>1 упак. - 30  пог.м.</t>
  </si>
  <si>
    <t>* - Остальные цвета - производство только под заказ</t>
  </si>
  <si>
    <t>Полезная площадь одной доски:</t>
  </si>
  <si>
    <t xml:space="preserve">    CEDRAL wood  CEDRAL smooth</t>
  </si>
  <si>
    <t>Штакетник М-образный (п.м.)</t>
  </si>
  <si>
    <t>Штакетник П-образный Фигурный (п.м.)</t>
  </si>
  <si>
    <t>Штакетник М-образный Фигурный (п.м.)</t>
  </si>
  <si>
    <t>Штакетник П-образный  (п.м.)</t>
  </si>
  <si>
    <t>Штакетник Прямоугольный Фигурный (п.м.)</t>
  </si>
  <si>
    <t>Штакетник Круглый  (п.м.)</t>
  </si>
  <si>
    <t>Штакетник Прямоугольный  (п.м.)</t>
  </si>
  <si>
    <t>Штакетник Круглый Фигурный  (п.м.)</t>
  </si>
  <si>
    <t>Аэроэлемент конька/хребта коричневый 220х5000 (5м)</t>
  </si>
  <si>
    <r>
      <t xml:space="preserve">Крепление хомут 62*55 для наконечника </t>
    </r>
    <r>
      <rPr>
        <sz val="18"/>
        <rFont val="Arial"/>
        <family val="2"/>
        <charset val="204"/>
      </rPr>
      <t>(укомплектован антивандальными гайками М6)</t>
    </r>
  </si>
  <si>
    <t>Проволока оцинкованная 1,6 мм для крепления СББ/ПББ к струне</t>
  </si>
  <si>
    <t>Струна оцинкованная 2,5 мм для крепления СББ/ПББ</t>
  </si>
  <si>
    <t>Карта
Medium (без ребер жесткости)</t>
  </si>
  <si>
    <t>Комплект полиграфии для стойки</t>
  </si>
  <si>
    <t>Комплект образцов металла для стенда "Планшет"</t>
  </si>
  <si>
    <t>Комплект образцов металла для стенда "Мини-планшет"</t>
  </si>
  <si>
    <t>Саморез металл-дерево 4,8х29 (250 шт.)  RAL/цинк</t>
  </si>
  <si>
    <t>Саморез металл-дерево 4,8х70 (100 шт.)  RAL/цинк</t>
  </si>
  <si>
    <t>Саморез металл-дерево 4,8х50 (150 шт.)* RAL/цинк</t>
  </si>
  <si>
    <t>Саморез металл-дерево 4,8х35 (250 шт.)  RAL/цинк</t>
  </si>
  <si>
    <t>Саморез металл-металл 4,8х19М (250 шт.)* RAL/цинк</t>
  </si>
  <si>
    <t>Саморез металл-металл 5,5х25М бур.№3 (250 шт.) RAL/цинк</t>
  </si>
  <si>
    <t>Саморез металл-металл 5,5х19М бур.№3 (250 шт.) RAL/цинк</t>
  </si>
  <si>
    <t>Саморез металл-металл 5,5х32М бур.№3 (250 шт.)  RAL/цинк</t>
  </si>
  <si>
    <t>Рекламная продукция Grand Line®</t>
  </si>
  <si>
    <t>15 лет</t>
  </si>
  <si>
    <r>
      <t xml:space="preserve">Основание для проходного элемента Pelti  </t>
    </r>
    <r>
      <rPr>
        <b/>
        <sz val="16"/>
        <color rgb="FFFF0000"/>
        <rFont val="Arial"/>
        <family val="2"/>
        <charset val="204"/>
      </rPr>
      <t>NEW</t>
    </r>
  </si>
  <si>
    <t>Предупреждаем Вас, что не допускается продажа на объект в одном заказе улучшенного сайдинга 
Grand Line AMERIKA и сайдинга предыдущей серии из-за разной степени сопротивления УФ-излучению.</t>
  </si>
  <si>
    <t>380х290х34 мм</t>
  </si>
  <si>
    <t>532х400 мм</t>
  </si>
  <si>
    <t xml:space="preserve">Поролоновая полоса (самоклеющаяся) </t>
  </si>
  <si>
    <t>1000х60 мм</t>
  </si>
  <si>
    <t>100х5000 мм</t>
  </si>
  <si>
    <t>Уплотнитель саморасширяющийся самоклеящийся 15х30 (5,6м)</t>
  </si>
  <si>
    <t>зелёный RAL 6005
серый RAL 7040
синий RAL 5005
коричневый RAL 8017</t>
  </si>
  <si>
    <t>Панель  860*1600 (1970)мм - 3 шт. 
Cтолб  62*55*2500 (3000) мм -1 шт.        
Направляющая  60*20*2500 мм - 2 шт.  
Т - кронштейн - 2 шт.</t>
  </si>
  <si>
    <t>зеленый RAL 6005, серый RAL 7040
синий RAL 5005, коричневый RAL 8017, цинк</t>
  </si>
  <si>
    <t>По возникающим вопросам обращайетсь по адресу: institute@grandline.ru</t>
  </si>
  <si>
    <t>0,05 х 20м</t>
  </si>
  <si>
    <t>0,03 х 25м</t>
  </si>
  <si>
    <t xml:space="preserve">95 г/м² </t>
  </si>
  <si>
    <t>Гидроизоляция Изоспан</t>
  </si>
  <si>
    <t xml:space="preserve">92 г/м² </t>
  </si>
  <si>
    <t xml:space="preserve">RR33, RR 32, RR11, RR23, RR29 </t>
  </si>
  <si>
    <t>Кровельный (переходной) мостик 2,5 м**</t>
  </si>
  <si>
    <t>Кровельный (переходной) мостик 2,5 м (для фальцевой кровли)**</t>
  </si>
  <si>
    <t>курс евро Деркен</t>
  </si>
  <si>
    <t>фолдер</t>
  </si>
  <si>
    <t>деркен</t>
  </si>
  <si>
    <t>Delta-Vent N</t>
  </si>
  <si>
    <t>Delta-Tixx</t>
  </si>
  <si>
    <t>Delta-Than</t>
  </si>
  <si>
    <t>Delta-Multi-Band M60</t>
  </si>
  <si>
    <t>Delta-Duo Tape 38</t>
  </si>
  <si>
    <t>Композитная металлочерепица Classic</t>
  </si>
  <si>
    <t>Винтовая опора без фланца</t>
  </si>
  <si>
    <t>Винтовая опора на фланце</t>
  </si>
  <si>
    <t xml:space="preserve">1,6х43,75м=70 м² </t>
  </si>
  <si>
    <t xml:space="preserve">1,5х50м=75 м² </t>
  </si>
  <si>
    <t>1,5х23,33=35 м²/
1,5х46,66=70 м²</t>
  </si>
  <si>
    <t>0,05х40м</t>
  </si>
  <si>
    <t>0,015 х 50м</t>
  </si>
  <si>
    <t>*- поддерживается на складе</t>
  </si>
  <si>
    <t>PE 0,7</t>
  </si>
  <si>
    <r>
      <t xml:space="preserve">Brico </t>
    </r>
    <r>
      <rPr>
        <b/>
        <sz val="20"/>
        <color rgb="FFFF0000"/>
        <rFont val="Arial"/>
        <family val="2"/>
        <charset val="204"/>
      </rPr>
      <t>NEW</t>
    </r>
  </si>
  <si>
    <t>Super</t>
  </si>
  <si>
    <t>серая</t>
  </si>
  <si>
    <t xml:space="preserve">Соответствие цветов обратки цветам покрытий </t>
  </si>
  <si>
    <t>серо-бежевая</t>
  </si>
  <si>
    <t>*** - данное правило распространяется на покрытия ТМ GL: PE, Print, Safari, Print dp, Velur® 20, Qlite,Q, Qmatt, Atlas</t>
  </si>
  <si>
    <t>коричневая охра</t>
  </si>
  <si>
    <t>бежево-коричневая</t>
  </si>
  <si>
    <t>сигнально-коричневая</t>
  </si>
  <si>
    <t>черно-красная</t>
  </si>
  <si>
    <t>светло-коричневая</t>
  </si>
  <si>
    <t>Запросите образцы металла у вашего менеджера!</t>
  </si>
  <si>
    <t>от 10 до 20</t>
  </si>
  <si>
    <t>от 10 до 45</t>
  </si>
  <si>
    <t>от 20 до 45</t>
  </si>
  <si>
    <t>от 0 до 55</t>
  </si>
  <si>
    <r>
      <t>Металлический штакетник</t>
    </r>
    <r>
      <rPr>
        <sz val="21"/>
        <rFont val="Arial"/>
        <family val="2"/>
        <charset val="204"/>
      </rPr>
      <t xml:space="preserve">  </t>
    </r>
    <r>
      <rPr>
        <b/>
        <sz val="21"/>
        <rFont val="Arial"/>
        <family val="2"/>
        <charset val="204"/>
      </rPr>
      <t>М и П-образный</t>
    </r>
    <r>
      <rPr>
        <sz val="21"/>
        <rFont val="Arial"/>
        <family val="2"/>
        <charset val="204"/>
      </rPr>
      <t xml:space="preserve"> изготавливается в количестве, кратном 10-ти единицам. </t>
    </r>
  </si>
  <si>
    <t>Штакетник</t>
  </si>
  <si>
    <r>
      <rPr>
        <b/>
        <sz val="21"/>
        <rFont val="Arial"/>
        <family val="2"/>
        <charset val="204"/>
      </rPr>
      <t>Металлический штакетник Круглый и Прямоугольный</t>
    </r>
    <r>
      <rPr>
        <sz val="21"/>
        <rFont val="Arial"/>
        <family val="2"/>
        <charset val="204"/>
      </rPr>
      <t xml:space="preserve"> изготавливается в любом количестве. </t>
    </r>
  </si>
  <si>
    <t>50 лет</t>
  </si>
  <si>
    <t>**** - до исчерпания складских остатков, точное кол-во уточняйте у менеджера</t>
  </si>
  <si>
    <t xml:space="preserve">за заказ менее 25 кв.м. </t>
  </si>
  <si>
    <t>Размеры, мм</t>
  </si>
  <si>
    <t>Цена, руб/шт</t>
  </si>
  <si>
    <t>Панель GL Я-фасад 
Крымский сланец</t>
  </si>
  <si>
    <t>Янтарный</t>
  </si>
  <si>
    <t>Габаритные: длина - 1560, высота - 351,5
Рабочие: длина - 1503, высота - 316</t>
  </si>
  <si>
    <t>Я-фасад</t>
  </si>
  <si>
    <t>Стартовый элемент для фасадной панели GL</t>
  </si>
  <si>
    <t>изготавливается в любом количестве.Все цены на металлический штакетник указаны за 1 погонный метр.</t>
  </si>
  <si>
    <t>Все цены указаны с НДС на складе завода Grand Line</t>
  </si>
  <si>
    <t>Все цены указаны с НДС на складе завода Grand Line®</t>
  </si>
  <si>
    <t>с 01.04.2015</t>
  </si>
  <si>
    <t>Объем заказа</t>
  </si>
  <si>
    <t>Банк России не имеет официальных аккаунтов в социальных сетях, кроме YouTube</t>
  </si>
  <si>
    <r>
      <t xml:space="preserve">AIRIDGE FELT L=0,59м </t>
    </r>
    <r>
      <rPr>
        <sz val="20"/>
        <color indexed="8"/>
        <rFont val="Arial"/>
        <family val="2"/>
        <charset val="204"/>
      </rPr>
      <t xml:space="preserve">аэратор коньковый </t>
    </r>
  </si>
  <si>
    <t>Кровельный вентиль для мягкой кровли</t>
  </si>
  <si>
    <t xml:space="preserve"> RR33</t>
  </si>
  <si>
    <t>МЧ, С8,10 - 1,35 м
С20,21,35 - 1,26 м</t>
  </si>
  <si>
    <t>1,21 м</t>
  </si>
  <si>
    <t>1,26 м</t>
  </si>
  <si>
    <t>1,26 м (1,06 м)</t>
  </si>
  <si>
    <t>0,78 м</t>
  </si>
  <si>
    <t>1,06 м</t>
  </si>
  <si>
    <t>1,2 м</t>
  </si>
  <si>
    <t>0,55 м</t>
  </si>
  <si>
    <t>1 м</t>
  </si>
  <si>
    <t>Max ширина</t>
  </si>
  <si>
    <t>0,5-0,6 м</t>
  </si>
  <si>
    <t>С8,10,20 - 1,21 м
С21,НС35 - 1,1 м
Н60 - 0,93 м
Н75 - 0,83</t>
  </si>
  <si>
    <t>Упаковка Короб/1350</t>
  </si>
  <si>
    <t>* - поддерживается на складе в красном, зелёном, сером и коричневом цвете</t>
  </si>
  <si>
    <t>*** - поддерживается на складе в коричневом,красном и сером цвете</t>
  </si>
  <si>
    <t xml:space="preserve">Цветовая гамма: красный (RAL 3009), зелёный (RAL 6005), кирпичный (RAL 8004), серый (RAL 7024), </t>
  </si>
  <si>
    <r>
      <t xml:space="preserve">HUOPA* - </t>
    </r>
    <r>
      <rPr>
        <sz val="20"/>
        <color indexed="8"/>
        <rFont val="Arial"/>
        <family val="2"/>
        <charset val="204"/>
      </rPr>
      <t>проходной элемент для мягкого кровельного материала. Устанавливается при монтаже кровельного материала (герметик в комплект не входит)</t>
    </r>
  </si>
  <si>
    <r>
      <t>CLASSIC - KTV</t>
    </r>
    <r>
      <rPr>
        <sz val="20"/>
        <color indexed="8"/>
        <rFont val="Arial"/>
        <family val="2"/>
        <charset val="204"/>
      </rPr>
      <t xml:space="preserve"> </t>
    </r>
    <r>
      <rPr>
        <b/>
        <sz val="20"/>
        <color indexed="8"/>
        <rFont val="Arial"/>
        <family val="2"/>
        <charset val="204"/>
      </rPr>
      <t>**</t>
    </r>
    <r>
      <rPr>
        <sz val="20"/>
        <color indexed="8"/>
        <rFont val="Arial"/>
        <family val="2"/>
        <charset val="204"/>
      </rPr>
      <t>- кровельный вентиль для фальцевой металлической и мягкой кровли (герметик в комплект не входит)</t>
    </r>
  </si>
  <si>
    <r>
      <t>PELTI - KTV **</t>
    </r>
    <r>
      <rPr>
        <sz val="20"/>
        <color indexed="8"/>
        <rFont val="Arial"/>
        <family val="2"/>
        <charset val="204"/>
      </rPr>
      <t xml:space="preserve">- универсальный кровельный вентиль </t>
    </r>
  </si>
  <si>
    <t>Неизолированный вентиляционный выход канализации 110/500 ***</t>
  </si>
  <si>
    <t>Изолированный вентиляционный выход канализации 110/160/500 ***</t>
  </si>
  <si>
    <r>
      <t>Колпак-дефлектор ***</t>
    </r>
    <r>
      <rPr>
        <sz val="20"/>
        <color indexed="8"/>
        <rFont val="Arial"/>
        <family val="2"/>
        <charset val="204"/>
      </rPr>
      <t xml:space="preserve">для трубы Ø 110мм </t>
    </r>
  </si>
  <si>
    <r>
      <t xml:space="preserve">Колпак-дефлектор*** </t>
    </r>
    <r>
      <rPr>
        <sz val="20"/>
        <color indexed="8"/>
        <rFont val="Arial"/>
        <family val="2"/>
        <charset val="204"/>
      </rPr>
      <t xml:space="preserve">для трубы Ø 160мм </t>
    </r>
  </si>
  <si>
    <r>
      <t>Вентиляционный выход  (Выход вытяжки) 125/160/500</t>
    </r>
    <r>
      <rPr>
        <sz val="20"/>
        <rFont val="Arial"/>
        <family val="2"/>
        <charset val="204"/>
      </rPr>
      <t xml:space="preserve"> ***- изолированный вентиляционный выход с колпаком</t>
    </r>
  </si>
  <si>
    <r>
      <t>ROOFSEAL - 1</t>
    </r>
    <r>
      <rPr>
        <sz val="20"/>
        <rFont val="Arial"/>
        <family val="2"/>
        <charset val="204"/>
      </rPr>
      <t xml:space="preserve"> 12-19 уплотнитель комплект(уплотнитель, хомут, шурупы, силикон, инструкция)</t>
    </r>
  </si>
  <si>
    <r>
      <t>ROOFSEAL - 2</t>
    </r>
    <r>
      <rPr>
        <sz val="20"/>
        <rFont val="Arial"/>
        <family val="2"/>
        <charset val="204"/>
      </rPr>
      <t xml:space="preserve">  75-150 уплотнитель комплект(уплотнитель, хомут, шурупы, силикон, инструкция)</t>
    </r>
  </si>
  <si>
    <r>
      <t>ROOFSEAL - 3</t>
    </r>
    <r>
      <rPr>
        <sz val="20"/>
        <rFont val="Arial"/>
        <family val="2"/>
        <charset val="204"/>
      </rPr>
      <t xml:space="preserve">  110-200 уплотнитель комплект(уплотнитель, хомут, шурупы, силикон, инструкция)</t>
    </r>
  </si>
  <si>
    <r>
      <t>ROOFSEAL - 4/7</t>
    </r>
    <r>
      <rPr>
        <sz val="20"/>
        <rFont val="Arial"/>
        <family val="2"/>
        <charset val="204"/>
      </rPr>
      <t xml:space="preserve">  150-280 уплотнитель комплект(уплотнитель, хомут, шурупы, силикон, инструкция)</t>
    </r>
  </si>
  <si>
    <r>
      <t>ROOFSEAL - 6/9</t>
    </r>
    <r>
      <rPr>
        <sz val="20"/>
        <rFont val="Arial"/>
        <family val="2"/>
        <charset val="204"/>
      </rPr>
      <t xml:space="preserve">  260-460 уплотнитель комплект(уплотнитель, хомут, шурупы, силикон, инструкция)</t>
    </r>
  </si>
  <si>
    <r>
      <t xml:space="preserve">RETROFIT-1  </t>
    </r>
    <r>
      <rPr>
        <sz val="20"/>
        <color indexed="8"/>
        <rFont val="Arial"/>
        <family val="2"/>
        <charset val="204"/>
      </rPr>
      <t>10-100 уплотнитель комплект(уплотнитель, хомут, шурупы, силикон, инструкция)</t>
    </r>
  </si>
  <si>
    <r>
      <t>RETROFIT-2</t>
    </r>
    <r>
      <rPr>
        <sz val="20"/>
        <rFont val="Arial"/>
        <family val="2"/>
        <charset val="204"/>
      </rPr>
      <t xml:space="preserve">  100-230 уплотнитель комплект(уплотнитель, хомут, шурупы, силикон, инструкция)</t>
    </r>
  </si>
  <si>
    <t>* - продукция есть на складе в цвете RR32</t>
  </si>
  <si>
    <t>*** - продукция есть на складе в цветах RR32, RR11, RR29, RR23</t>
  </si>
  <si>
    <t>Все цены на металлический штакетник указаны за 1 погонный метр.</t>
  </si>
  <si>
    <r>
      <t>Финская черепица</t>
    </r>
    <r>
      <rPr>
        <sz val="10"/>
        <rFont val="Arial Cyr"/>
        <charset val="204"/>
      </rPr>
      <t xml:space="preserve"> (однослойная, окисленный битум)</t>
    </r>
  </si>
  <si>
    <r>
      <t xml:space="preserve">SHINGLAS РАНЧО ламинированный </t>
    </r>
    <r>
      <rPr>
        <sz val="10"/>
        <rFont val="Arial Cyr"/>
        <charset val="204"/>
      </rPr>
      <t>(двухслойная, окисленный битум)</t>
    </r>
  </si>
  <si>
    <r>
      <t xml:space="preserve">SHINGLAS КАНТРИ ламинированный </t>
    </r>
    <r>
      <rPr>
        <sz val="10"/>
        <rFont val="Arial Cyr"/>
        <charset val="204"/>
      </rPr>
      <t>(двухслойная, окисленный битум)</t>
    </r>
  </si>
  <si>
    <r>
      <t xml:space="preserve">SHINGLAS КЛАССИК </t>
    </r>
    <r>
      <rPr>
        <sz val="10"/>
        <rFont val="Arial Cyr"/>
        <charset val="204"/>
      </rPr>
      <t>(однослойная, окисленный битум)</t>
    </r>
  </si>
  <si>
    <r>
      <t xml:space="preserve">SHINGLAS УЛЬТРА </t>
    </r>
    <r>
      <rPr>
        <sz val="10"/>
        <rFont val="Arial Cyr"/>
        <charset val="204"/>
      </rPr>
      <t>(однослойная, битум с полимерными добавками)</t>
    </r>
  </si>
  <si>
    <r>
      <t>SHINGLAS ДЖАЗ ламинированный</t>
    </r>
    <r>
      <rPr>
        <sz val="10"/>
        <rFont val="Arial Cyr"/>
        <charset val="204"/>
      </rPr>
      <t xml:space="preserve"> (двухслойная, окисленный битум)</t>
    </r>
  </si>
  <si>
    <r>
      <t>SHINGLAS ВЕСТЕРН ламинированный</t>
    </r>
    <r>
      <rPr>
        <sz val="10"/>
        <rFont val="Arial Cyr"/>
        <charset val="204"/>
      </rPr>
      <t xml:space="preserve"> (двухслойная, окисленный битум)</t>
    </r>
  </si>
  <si>
    <r>
      <t xml:space="preserve">SHINGLAS КОНТИНЕНТ ламинированный </t>
    </r>
    <r>
      <rPr>
        <sz val="10"/>
        <rFont val="Arial Cyr"/>
        <charset val="204"/>
      </rPr>
      <t>(трехслойная, окисленный битум)</t>
    </r>
  </si>
  <si>
    <t>Кол-во кв.м./упак</t>
  </si>
  <si>
    <t>3 (+/-0,2)</t>
  </si>
  <si>
    <t>6 (+/-0,2)</t>
  </si>
  <si>
    <t>9 (+/-0,2)</t>
  </si>
  <si>
    <t xml:space="preserve">Засов в сборе: 
• основной кронштейн на прямоугольный/квадратный профиль–1 шт
• ответная скоба на прямоугольный/квадратный профиль–1 шт
• ось – ригель 20 мм–1 шт
• ручка – 1 шт
Саморезы 5,5 х 19 для крепления кронштейна и скобы – 8 шт
</t>
  </si>
  <si>
    <t>зеленый RAL 6005
черный RAL 9005</t>
  </si>
  <si>
    <t>Ширина 3 м</t>
  </si>
  <si>
    <t>Ширина 1 м</t>
  </si>
  <si>
    <t>Ширина 3,5 м</t>
  </si>
  <si>
    <t>Укосина</t>
  </si>
  <si>
    <t>42*21</t>
  </si>
  <si>
    <r>
      <t xml:space="preserve">Засов для калиток и ворот Profi* </t>
    </r>
    <r>
      <rPr>
        <b/>
        <sz val="24"/>
        <color rgb="FFFF0000"/>
        <rFont val="Arial"/>
        <family val="2"/>
        <charset val="204"/>
      </rPr>
      <t>NEW</t>
    </r>
  </si>
  <si>
    <t>* - подходит так же для калиток и ворот Эконом</t>
  </si>
  <si>
    <r>
      <t xml:space="preserve">PELTI*** - </t>
    </r>
    <r>
      <rPr>
        <sz val="20"/>
        <color indexed="8"/>
        <rFont val="Arial"/>
        <family val="2"/>
        <charset val="204"/>
      </rPr>
      <t>проходной элемент (универсальный) для металлочерепицы (кроме м/ч Камея)</t>
    </r>
  </si>
  <si>
    <t>Папка "Дизайн покрытий Colority Print"</t>
  </si>
  <si>
    <t xml:space="preserve">Проушины для навесного замка </t>
  </si>
  <si>
    <t>Проушины – 2 шт
Саморезы 4,8 х 35 – 6 шт</t>
  </si>
  <si>
    <t>Все цены указаны с НДС на складе завода Grand Line (90 км от МКАД по Киевскому ш. или Варшавскому ш.)</t>
  </si>
  <si>
    <r>
      <rPr>
        <b/>
        <sz val="22"/>
        <rFont val="Arial"/>
        <family val="2"/>
        <charset val="204"/>
      </rPr>
      <t>Satin</t>
    </r>
    <r>
      <rPr>
        <b/>
        <sz val="20"/>
        <rFont val="Arial"/>
        <family val="2"/>
        <charset val="204"/>
      </rPr>
      <t xml:space="preserve">
</t>
    </r>
    <r>
      <rPr>
        <sz val="20"/>
        <rFont val="Arial"/>
        <family val="2"/>
        <charset val="204"/>
      </rPr>
      <t>(Zn 140-180 г/кв.м.)</t>
    </r>
  </si>
  <si>
    <r>
      <rPr>
        <b/>
        <sz val="22"/>
        <rFont val="Arial"/>
        <family val="2"/>
        <charset val="204"/>
      </rPr>
      <t>Drap</t>
    </r>
    <r>
      <rPr>
        <b/>
        <sz val="20"/>
        <rFont val="Arial"/>
        <family val="2"/>
        <charset val="204"/>
      </rPr>
      <t xml:space="preserve">
</t>
    </r>
    <r>
      <rPr>
        <sz val="20"/>
        <rFont val="Arial"/>
        <family val="2"/>
        <charset val="204"/>
      </rPr>
      <t>(Zn 100-200 г/кв.м.)</t>
    </r>
  </si>
  <si>
    <t xml:space="preserve">Замок LTKZ 5151 P1L </t>
  </si>
  <si>
    <t>ВНИМАНИЕ! При заказе софитов нестандартной длины действует специальная цена (+10%)</t>
  </si>
  <si>
    <t>Наценка на софит металлический</t>
  </si>
  <si>
    <t>При заказе софитов нестандартной длины действует специальная цена (+10%)</t>
  </si>
  <si>
    <r>
      <t xml:space="preserve">Нанесение защитной пленки на весь фальц в полимерных покрытиях, сайдинг, фигурный профнастил и софит - </t>
    </r>
    <r>
      <rPr>
        <b/>
        <sz val="21"/>
        <rFont val="Arial"/>
        <family val="2"/>
        <charset val="204"/>
      </rPr>
      <t>БЕСПЛАТНО!</t>
    </r>
  </si>
  <si>
    <t>**- фальц (в полимерных покрытиях), фигурный профнастил,сайдинг, пл.лист Velur® 20, софит изготавливаются в защитной пленке</t>
  </si>
  <si>
    <t>Упаковка для софита:</t>
  </si>
  <si>
    <t>Околооконная планка сложная (J-фаска) 250х50 мм</t>
  </si>
  <si>
    <t>Околооконная планка сложная (J-фаска) 200х50 мм</t>
  </si>
  <si>
    <r>
      <t>Цена за 1 п.м. комплекта прямого не замкнутого участка (столб 62*55 под бетон+панель+крепеж скоба/2,5), руб.</t>
    </r>
    <r>
      <rPr>
        <b/>
        <sz val="20"/>
        <color indexed="10"/>
        <rFont val="Arial"/>
        <family val="2"/>
        <charset val="204"/>
      </rPr>
      <t>Внимание! Расчет теоретический.</t>
    </r>
    <r>
      <rPr>
        <b/>
        <sz val="20"/>
        <rFont val="Arial"/>
        <family val="2"/>
        <charset val="204"/>
      </rPr>
      <t xml:space="preserve"> Продажа ведется по ЭЛЕМЕНТАМ и расчет по конкретному участку будет отличаться!</t>
    </r>
  </si>
  <si>
    <t>Панель LIGHT С ПОЛИМЕРНЫМ ПОКРЫТИЕМ ячейка основная 200*55 мм  диаметр прутка 3,5 мм</t>
  </si>
  <si>
    <t>Панель MEDIUM 
ЦИНК                                                                                                                                                                                                                                                                                                                                                                                                                                                                                                                                                                                                                                                          ячейка основная 200х55 мм
диаметр прутка  3,8 мм</t>
  </si>
  <si>
    <t>Панель MEDIUM С ПОЛИМЕРНЫМ ПОКРЫТИЕМ
ячейка основная 
200х55 мм
диаметр прутка 
4 мм</t>
  </si>
  <si>
    <t>Панель PROFI
ЦИНК                                                                                                                                                                                                                                                                                                           ячейка основная 200х55 мм
диаметр прутка  4,8 мм</t>
  </si>
  <si>
    <t>Панель PROFI С ПОЛИМЕРНЫМ ПОКРЫТИЕМ 
ячейка основная 
200х55 мм 
диаметр прутка 
5 мм</t>
  </si>
  <si>
    <t>Крепление скоба саморез</t>
  </si>
  <si>
    <t>ВНИМАНИЕ! Расчет погонного метра панели LIGHT производится со столбами 51мм и креплением скоба+саморез</t>
  </si>
  <si>
    <r>
      <t xml:space="preserve">Базальтовая посыпка 
</t>
    </r>
    <r>
      <rPr>
        <sz val="20"/>
        <rFont val="Arial"/>
        <family val="2"/>
        <charset val="204"/>
      </rPr>
      <t>(Al-Zn 150 г/кв.м.)</t>
    </r>
  </si>
  <si>
    <r>
      <t xml:space="preserve">Софит металлический без перфорации/перфорация по центру/полная перфорация 3м </t>
    </r>
    <r>
      <rPr>
        <b/>
        <sz val="21"/>
        <color rgb="FFFF0000"/>
        <rFont val="Arial"/>
        <family val="2"/>
        <charset val="204"/>
      </rPr>
      <t>NEW</t>
    </r>
  </si>
  <si>
    <t>Drap</t>
  </si>
  <si>
    <t>руб./кг</t>
  </si>
  <si>
    <t>руб./уп.</t>
  </si>
  <si>
    <t>Софит металлический</t>
  </si>
  <si>
    <t>Стандартная длина софита - 3м</t>
  </si>
  <si>
    <t>Снегозадержатель для мягкой кровли</t>
  </si>
  <si>
    <t>Длина: 260мм, ширина: 20мм, высота: 80мм, толщина металла 1 мм</t>
  </si>
  <si>
    <t>* - Колпак (стандартный 390*390) для столбов ограждений доступны для заказа только кратными 2-м.</t>
  </si>
  <si>
    <t>Тройник Y - образный для полукруглого конька</t>
  </si>
  <si>
    <t>Тройник Y - образный для полукруглого конька малого</t>
  </si>
  <si>
    <t>0,2/6</t>
  </si>
  <si>
    <r>
      <t xml:space="preserve">Софит металлический </t>
    </r>
    <r>
      <rPr>
        <b/>
        <sz val="10"/>
        <color rgb="FFFF0000"/>
        <rFont val="Arial"/>
        <family val="2"/>
        <charset val="204"/>
      </rPr>
      <t>NEW</t>
    </r>
  </si>
  <si>
    <t>Насадка-ножницы Стальной бобер для резки металла</t>
  </si>
  <si>
    <t>Молоток кровельный</t>
  </si>
  <si>
    <t>Молоток фальцевый крестовой</t>
  </si>
  <si>
    <t>Молоток фальцевый "Косяк"</t>
  </si>
  <si>
    <t>Внимание!  Прайс-лист действителен на территории Центрального Федерального Округа (ЦФО), а также в Архангельской, Вологодской и Пензенской обл.</t>
  </si>
  <si>
    <t xml:space="preserve">Клещи прямые 60мм накладное соед. </t>
  </si>
  <si>
    <t>Клещи 45 град 40мм накладное соед.</t>
  </si>
  <si>
    <t>Клещи большие 45 град 180мм накладное соед.</t>
  </si>
  <si>
    <t>Круглогубцы 45мм накладное / сквозное соед.</t>
  </si>
  <si>
    <t>Плоскогубцы кровельные сквозное соед.</t>
  </si>
  <si>
    <t>Диск режущий к мультиф. станку IVT MPCB-135</t>
  </si>
  <si>
    <t>Диаметр 100 мм, длина 800 мм</t>
  </si>
  <si>
    <t>Диаметр 200 мм, длина 800 мм</t>
  </si>
  <si>
    <t>Сохраняет редуктор, двигатель бензобура в случае заклинивании шнека при бурении</t>
  </si>
  <si>
    <t>Шуруповерт IVT Li-14,4 EGK</t>
  </si>
  <si>
    <t>Шуруповерт IVT Li-18 EGK</t>
  </si>
  <si>
    <t>Аккумуляторная батарея (Lithium) BAT Li - 14,4</t>
  </si>
  <si>
    <t>Аккумуляторная батарея (Lithium) BAT Li - 18</t>
  </si>
  <si>
    <t>Пистолет для герметика усиленный No-drop</t>
  </si>
  <si>
    <t>Instrumax</t>
  </si>
  <si>
    <t>Лазерная рулетка для дистанционного, быстрого и точного  измерения расстояний без напарника дна улице и в помещении</t>
  </si>
  <si>
    <t>Прибор для измерения углов с электронной измерительной системой</t>
  </si>
  <si>
    <t xml:space="preserve">Для быстрого и точного определения угла отклонения поверхности от горизонта или вертикали
</t>
  </si>
  <si>
    <t>Построители плоскостей (линейные лазерные уровени) для горизонтальной и вертикальной разметки на улице и внутри помещений</t>
  </si>
  <si>
    <t>Нивелир лазерный ADA 6D Servoliner</t>
  </si>
  <si>
    <t>Увеличивает дальность работы нивелира при ярком освещении, в условиях плохой видимости лазерного луча</t>
  </si>
  <si>
    <t>Элевационный раздвижной штатив для установки лазерных нивелиров (построителей)</t>
  </si>
  <si>
    <t>Нивелир оптический ADA Basis</t>
  </si>
  <si>
    <t>Прибор для определения разности высот между несколькими клетками земной поверхности относительно условного уровня</t>
  </si>
  <si>
    <t>Нивелир оптический ADA Ruber 32</t>
  </si>
  <si>
    <t>Штатив алюминиевый на винтах ADA Light S</t>
  </si>
  <si>
    <t>Рейка нивелирная телескопическая ADA STAFF 3</t>
  </si>
  <si>
    <t>Рейка нивелирная телескопическая ADA STAFF 5</t>
  </si>
  <si>
    <t>Иной измерительный инструмент</t>
  </si>
  <si>
    <t>Станки для гибки и резки листового металла</t>
  </si>
  <si>
    <t xml:space="preserve">ТАРСО </t>
  </si>
  <si>
    <t>Цена предоставляется по запросу, так как расчитывается, исходя из актуального курса рубля к доллару США</t>
  </si>
  <si>
    <t>глубина подачи 380 мм, макс. толщина стали 0,55 мм</t>
  </si>
  <si>
    <t>глубина подачи 480 мм, макс. толщина стали 0,70 мм</t>
  </si>
  <si>
    <t>глубина подачи 500 мм, макс. толщина стали 1,00 мм</t>
  </si>
  <si>
    <t>Van Mark</t>
  </si>
  <si>
    <t>Van Mark Commercial MM 851</t>
  </si>
  <si>
    <t>глубина подачи 520 мм, макс. толщина стали 0,70 мм</t>
  </si>
  <si>
    <t>Van Mark Commercial MM 1051</t>
  </si>
  <si>
    <t>Van Mark Industrial IM 855</t>
  </si>
  <si>
    <t>глубина подачи 520 мм, макс. толщина стали 1,00 мм</t>
  </si>
  <si>
    <t>Van Mark Industrial IM 1055</t>
  </si>
  <si>
    <t>Станок  "ЭДЕЛЬВЕЙС"</t>
  </si>
  <si>
    <t>рабочая ширина 840 мм</t>
  </si>
  <si>
    <t>Станок  "ЭДЕЛЬВЕЙС" mini</t>
  </si>
  <si>
    <t>рабочая ширина 250 мм</t>
  </si>
  <si>
    <t>Мостик переходной 
3 м*</t>
  </si>
  <si>
    <t>Мостик переходной 
1 м*</t>
  </si>
  <si>
    <t>Мостик переходной для фальцевой кровли
3 м*</t>
  </si>
  <si>
    <t>Мостик переходной для фальцевой кровли 
1 м*</t>
  </si>
  <si>
    <t>Полотно переходного мостика
3 м*</t>
  </si>
  <si>
    <t>Полотно переходного мостика
1 м*</t>
  </si>
  <si>
    <t>Кронштейн переходного мостика Grand Line</t>
  </si>
  <si>
    <t>Кронштейн переходного мостика Grand Line для фальцевой кровли</t>
  </si>
  <si>
    <t xml:space="preserve">Розничная цена </t>
  </si>
  <si>
    <t>руб./шт</t>
  </si>
  <si>
    <t>Лист Decra Classic, античный красный</t>
  </si>
  <si>
    <t>588*</t>
  </si>
  <si>
    <t>Лист Decra Classic, терракота</t>
  </si>
  <si>
    <t>Лист Decra Classic, тик</t>
  </si>
  <si>
    <t>Лист Decra Classic, осенний каприз</t>
  </si>
  <si>
    <t>611*</t>
  </si>
  <si>
    <t>Лист Decra Classic, иные цвета под заказ**</t>
  </si>
  <si>
    <t>Лист Decra Roman, терракота</t>
  </si>
  <si>
    <t>Лист Decra Roman, средиземноморская терракотта</t>
  </si>
  <si>
    <t>Лист Decra STRATOS, антрацит</t>
  </si>
  <si>
    <t>469*</t>
  </si>
  <si>
    <t>Лист Decra STRATOS, серый валун</t>
  </si>
  <si>
    <t>460*</t>
  </si>
  <si>
    <t>Лист Decra STRATOS, тик</t>
  </si>
  <si>
    <t>474*</t>
  </si>
  <si>
    <t>L=1238 мм</t>
  </si>
  <si>
    <t>L = 1225 мм</t>
  </si>
  <si>
    <t>Гвозди (6 кг), черные, красные</t>
  </si>
  <si>
    <t>2000 шт/уп</t>
  </si>
  <si>
    <t>L = 380 мм</t>
  </si>
  <si>
    <t>Саморезы (1,6 кг), черные, красные</t>
  </si>
  <si>
    <t>500 шт/уп</t>
  </si>
  <si>
    <t>L = 1250 мм мм</t>
  </si>
  <si>
    <t>Вентилятор санитарный Roman (также вентилятор подкров. пространства)</t>
  </si>
  <si>
    <t>Ендова GL (заказывается из металла без посыпки как нестандартный доборный элемент, поктырие и цвет металла зависит от цвета композитной черепицы)</t>
  </si>
  <si>
    <t>см.цену в прайсе профилировки</t>
  </si>
  <si>
    <t>Предназначен для резки различных материалов без замены пильного диска. (в комплекте с режущим диском)</t>
  </si>
  <si>
    <t>Турбо ножницы для толстой стали Malco</t>
  </si>
  <si>
    <t>Насадка на дрель раскроя металла по гильотинному принципу без образования стружки и искр</t>
  </si>
  <si>
    <t>Клещи 45 град 60мм накладное соед. Stubai</t>
  </si>
  <si>
    <t>Кровелдьные клещи</t>
  </si>
  <si>
    <t>Ножницы подрезные правые EDMA</t>
  </si>
  <si>
    <t xml:space="preserve">Рычажные ножницы по маталлу </t>
  </si>
  <si>
    <t>Ножницы подрезные левые EDMA</t>
  </si>
  <si>
    <t>*  цены действительны на ограниченное количество товара, имеющегося в наличии на складе поставщика.</t>
  </si>
  <si>
    <t>Внимание! Прайс-лист действителен на территории Центрального федерального округа (ЦФО), Приволжского федерального округа (ПФО), Северо-Западного федерального округа (СЗФО)</t>
  </si>
  <si>
    <t>Все цены указаны с НДС на складах завода Grand Line в г. Обнинск, г. Нижний Новгород, г. Коммунар Ленинградской обл., г. Воронеж</t>
  </si>
  <si>
    <t>Длина:2,5 ширина:1,25 толщина:9</t>
  </si>
  <si>
    <t>Доборные элементы для металлического софита GL</t>
  </si>
  <si>
    <t>Доборные элементы для фальцевой кровли GL</t>
  </si>
  <si>
    <t>Околооконная планка сложная (J-фаска) 250х50</t>
  </si>
  <si>
    <t>Околооконная планка сложная (J-фаска) 200х50</t>
  </si>
  <si>
    <t>Супердиффузионная мембрана Folder Classic</t>
  </si>
  <si>
    <t>Пароизоляционная мембрана Tyvek® AirGuard® SD5</t>
  </si>
  <si>
    <t>Весь металлический штакетник может изготавливаться с шагом в 10 см.</t>
  </si>
  <si>
    <t>Стенд ограждений GL</t>
  </si>
  <si>
    <t>Мини-стенд ограждений GL Protect 0,5х0,5м</t>
  </si>
  <si>
    <t>Мини-стенд ограждений GL Штакетник
Штакетник Круглый и Прямоугольный 0,6х0,6м
Штакетник П- и М-образный 0,6х0,6м</t>
  </si>
  <si>
    <t>Мини-стенд ограждений GL Profi (Панельное ограждение + столб 51 + укосина)</t>
  </si>
  <si>
    <t>Мини-стенд ограждений GL Profi 0,1х0,3м</t>
  </si>
  <si>
    <t>Мини-стенд ограждений GL PROFI+BASTION 0,6х0,5м</t>
  </si>
  <si>
    <t>Мини-стенд ограждений GL Газонное 0,6х0,6м</t>
  </si>
  <si>
    <t>607х640</t>
  </si>
  <si>
    <t>Стенд откатных ворот GL Profi 1,0х1,5м</t>
  </si>
  <si>
    <t>Мини-стенд ограждений  GL Премиум 0,5х0,5м</t>
  </si>
  <si>
    <t>Стенд калитка Grand Line 1,1х2,0м</t>
  </si>
  <si>
    <t>Клещи "Гофра"  прямые усиленные</t>
  </si>
  <si>
    <t>Шторы ARS (группа I: белые 001, бежевые 002, лен 006, светлый беж 007) ***</t>
  </si>
  <si>
    <t>Штора ARP группа I (лен 006, кремовые 007)***</t>
  </si>
  <si>
    <t>Жалюзи с боковыми направляющими AJP группа I (белые 140)***</t>
  </si>
  <si>
    <t>Светонепроницаемая  штора ARF группа I (синяя 051)***</t>
  </si>
  <si>
    <t>Светонепроницаемая  штора ARF группа II (бордовая 056)***</t>
  </si>
  <si>
    <t>*** - данные цвета являются складскими, цену на нестандартные цвета уточните у менеджера</t>
  </si>
  <si>
    <t>Специальные кровельные клещи для исполнения лежачего полуторного и одинарного фальца</t>
  </si>
  <si>
    <t>© Банк России, 2000–2016</t>
  </si>
  <si>
    <r>
      <t xml:space="preserve">Фиброцементный сайдинг - Cedral (Eternit) </t>
    </r>
    <r>
      <rPr>
        <b/>
        <sz val="16"/>
        <color indexed="10"/>
        <rFont val="Arial Cyr"/>
        <charset val="204"/>
      </rPr>
      <t>NEW</t>
    </r>
  </si>
  <si>
    <r>
      <t>Цвета:</t>
    </r>
    <r>
      <rPr>
        <sz val="10"/>
        <color indexed="8"/>
        <rFont val="Arial Cyr"/>
        <charset val="204"/>
      </rPr>
      <t xml:space="preserve"> С01,С02, С03, С04, С05, С06, С07, С08, С10, С11, С14, С15, С18, С19, С30, С 31, С32, С50, С51, С52, С53, С54, С55, С56, С57, С58, С59, С60, С61, С62</t>
    </r>
  </si>
  <si>
    <r>
      <t xml:space="preserve">Цвета: </t>
    </r>
    <r>
      <rPr>
        <sz val="10"/>
        <color indexed="8"/>
        <rFont val="Arial Cyr"/>
        <charset val="204"/>
      </rPr>
      <t>С01,С02, С03, С04, С05, С06, С07, С08, С10, С11, С14, С15, С18, С19, С30, С 31, С32, С50, С51, С52, С53, С54, С55, С56, С57, С58, С59, С60, С61, С62</t>
    </r>
  </si>
  <si>
    <r>
      <t xml:space="preserve">АКСЕССУАРЫ и ДОБОРНЫЕ ЭЛЕМЕНТЫ (алюминиевые)
</t>
    </r>
    <r>
      <rPr>
        <sz val="10"/>
        <color indexed="8"/>
        <rFont val="Arial Cyr"/>
        <charset val="204"/>
      </rPr>
      <t>На все цвета - одна цена!</t>
    </r>
  </si>
  <si>
    <t>Цена руб/шт</t>
  </si>
  <si>
    <r>
      <t xml:space="preserve">Стартовый профиль </t>
    </r>
    <r>
      <rPr>
        <sz val="10"/>
        <rFont val="Arial Cyr"/>
        <charset val="204"/>
      </rPr>
      <t>(цвет базовый - С02)</t>
    </r>
  </si>
  <si>
    <r>
      <t xml:space="preserve">Профиль соединительный 
</t>
    </r>
    <r>
      <rPr>
        <sz val="9"/>
        <color indexed="8"/>
        <rFont val="Arial Cyr"/>
        <charset val="204"/>
      </rPr>
      <t>(Срок поставки цвета: С01, С02, С03, С05, С07, С50 - 14 дней.  Остальные цвета - 40 дней)</t>
    </r>
  </si>
  <si>
    <t>100х30х2,5м</t>
  </si>
  <si>
    <r>
      <t xml:space="preserve">Саморезы с грибовидной окрашенной шляпкой
</t>
    </r>
    <r>
      <rPr>
        <sz val="8"/>
        <rFont val="Arial Cyr"/>
        <charset val="204"/>
      </rPr>
      <t xml:space="preserve">(Срок поставки цвета: С01, С02, С03, С05, С07, С15, С18, С50 – 21 день. Остальные цвета – 40 дней) </t>
    </r>
  </si>
  <si>
    <r>
      <t xml:space="preserve">Цвета: </t>
    </r>
    <r>
      <rPr>
        <sz val="10"/>
        <color indexed="8"/>
        <rFont val="Arial Cyr"/>
        <charset val="204"/>
      </rPr>
      <t xml:space="preserve">С01,С02, С03, С05, С07, С18, С50,C56,C57,C58,
C59,C60,C61,C62 *  </t>
    </r>
  </si>
  <si>
    <r>
      <t xml:space="preserve">Цвета: </t>
    </r>
    <r>
      <rPr>
        <sz val="10"/>
        <color indexed="8"/>
        <rFont val="Arial Cyr"/>
        <charset val="204"/>
      </rPr>
      <t>С01,С02, С03, С05, С07,С18,С50,C56,C57,C58,
C59,C60,C61,C62 *</t>
    </r>
  </si>
  <si>
    <r>
      <t xml:space="preserve">Профиль внутреннего угла 
</t>
    </r>
    <r>
      <rPr>
        <sz val="9"/>
        <rFont val="Arial Cyr"/>
        <charset val="204"/>
      </rPr>
      <t>Цвета: С01,С02,С03,С05,С07 С18,С50,C56,C57,C58,C59,C60,C61,C62 (срок поставки-14 дней). Остальные цвета - производство под заказ (срок поставки - 40 дней)</t>
    </r>
  </si>
  <si>
    <r>
      <t xml:space="preserve">Профиль соединительный
</t>
    </r>
    <r>
      <rPr>
        <sz val="9"/>
        <color indexed="8"/>
        <rFont val="Arial Cyr"/>
        <charset val="204"/>
      </rPr>
      <t>Цвета:</t>
    </r>
    <r>
      <rPr>
        <b/>
        <sz val="9"/>
        <color indexed="8"/>
        <rFont val="Arial Cyr"/>
        <charset val="204"/>
      </rPr>
      <t xml:space="preserve"> </t>
    </r>
    <r>
      <rPr>
        <sz val="9"/>
        <color indexed="8"/>
        <rFont val="Arial Cyr"/>
        <charset val="204"/>
      </rPr>
      <t>С01, С02, С03, С05, С07, С50 (срок поставки - 14 дней)
Остальные цвета - производство под заказ (срок поставки - 40 дней)</t>
    </r>
  </si>
  <si>
    <r>
      <t xml:space="preserve">Стартовый профиль </t>
    </r>
    <r>
      <rPr>
        <sz val="10"/>
        <color indexed="8"/>
        <rFont val="Arial Cyr"/>
        <charset val="204"/>
      </rPr>
      <t xml:space="preserve"> (неокрашенный)</t>
    </r>
  </si>
  <si>
    <r>
      <t xml:space="preserve">При монтаже в нахлест 30 мм </t>
    </r>
    <r>
      <rPr>
        <b/>
        <sz val="9"/>
        <color indexed="8"/>
        <rFont val="Arial Cyr"/>
        <charset val="204"/>
      </rPr>
      <t>0,576 кв.м.</t>
    </r>
  </si>
  <si>
    <r>
      <t xml:space="preserve">При монтаже "стык в стык" </t>
    </r>
    <r>
      <rPr>
        <b/>
        <sz val="9"/>
        <color indexed="8"/>
        <rFont val="Arial Cyr"/>
        <charset val="204"/>
      </rPr>
      <t>0,684 кв.м.</t>
    </r>
  </si>
  <si>
    <t>Труба для снегозадержателя универсального 
Optima RAL d-25 3 м  - 2 шт 
Кронштейн снегозадержателя универсальный Zn//RAL - 3 шт
Саморез 8х60 - 6 шт
Резиновый уплотнитель ЭПДМ - 12 шт
Заглушка D 25 - 4 шт</t>
  </si>
  <si>
    <t>Кронштейн снегозадержателя универсальный  Zn//RAL - 1 шт
Саморез 8х60 - 2 шт
Резиновый уплотнитель ЭПДМ - 4 шт</t>
  </si>
  <si>
    <t>мл</t>
  </si>
  <si>
    <t>Мастика для гибкой черепицы (Фиксер)  картридж</t>
  </si>
  <si>
    <t>Мастика для гибкой черепицы (Фиксер)</t>
  </si>
  <si>
    <t>PE, Satin</t>
  </si>
  <si>
    <t>Снегозадержатель под гибкую черепицу**</t>
  </si>
  <si>
    <t>Снегозадержатель ZN-1 шт</t>
  </si>
  <si>
    <t>цены действительны с 19.01.2016</t>
  </si>
  <si>
    <t>Финская черепица</t>
  </si>
  <si>
    <t>SHINGLAS РАНЧО ламинированный</t>
  </si>
  <si>
    <t>SHINGLAS КАНТРИ ламинированный</t>
  </si>
  <si>
    <t>SHINGLAS КЛАССИК</t>
  </si>
  <si>
    <t>SHINGLAS УЛЬТРА</t>
  </si>
  <si>
    <t>SHINGLAS ДЖАЗ ламинированный</t>
  </si>
  <si>
    <t>SHINGLAS ВЕСТЕРН ламинированный</t>
  </si>
  <si>
    <t>SHINGLAS КОНТИНЕНТ ламинированный</t>
  </si>
  <si>
    <t>Подкладочный ковер ANDEREP PROF</t>
  </si>
  <si>
    <t>На заказы менее 25 кв.м. в покрытии Полиэстер 0,5 мм и Atlas в цветах: RAL3005, RAL6005, RAL8017</t>
  </si>
  <si>
    <r>
      <t>MUOTOKATE***</t>
    </r>
    <r>
      <rPr>
        <sz val="20"/>
        <color indexed="8"/>
        <rFont val="Arial"/>
        <family val="2"/>
        <charset val="204"/>
      </rPr>
      <t>- проходной элемент для металлочерепицы Модерн, Классик, Камея, Квинта, КМЧ GL</t>
    </r>
  </si>
  <si>
    <r>
      <t>MUOTOKATE - KTV</t>
    </r>
    <r>
      <rPr>
        <sz val="20"/>
        <color indexed="8"/>
        <rFont val="Arial"/>
        <family val="2"/>
        <charset val="204"/>
      </rPr>
      <t xml:space="preserve"> </t>
    </r>
    <r>
      <rPr>
        <b/>
        <sz val="20"/>
        <color indexed="8"/>
        <rFont val="Arial"/>
        <family val="2"/>
        <charset val="204"/>
      </rPr>
      <t>***</t>
    </r>
    <r>
      <rPr>
        <sz val="20"/>
        <color indexed="8"/>
        <rFont val="Arial"/>
        <family val="2"/>
        <charset val="204"/>
      </rPr>
      <t>- кровельный вентиль для металлочерепицы Модерн, Классик, Камея, Квинта, КМЧ GL</t>
    </r>
  </si>
  <si>
    <t>Металлочерепица 
Kamea, Kvinta, Classic, Country</t>
  </si>
  <si>
    <t xml:space="preserve">                                                                                    Цена, руб/кв.м.</t>
  </si>
  <si>
    <t>RAL 3011</t>
  </si>
  <si>
    <r>
      <rPr>
        <b/>
        <sz val="11"/>
        <color rgb="FFFF0000"/>
        <rFont val="Arial"/>
        <family val="2"/>
        <charset val="204"/>
      </rPr>
      <t>ВНИМАНИЕ!</t>
    </r>
    <r>
      <rPr>
        <sz val="11"/>
        <color theme="1"/>
        <rFont val="Arial"/>
        <family val="2"/>
        <charset val="204"/>
      </rPr>
      <t xml:space="preserve"> </t>
    </r>
    <r>
      <rPr>
        <sz val="10"/>
        <color theme="1"/>
        <rFont val="Arial"/>
        <family val="2"/>
        <charset val="204"/>
      </rPr>
      <t>Количество и образцы металла уточняете у менеджера!</t>
    </r>
  </si>
  <si>
    <r>
      <t>1324 x 410 мм (1260 х 370 мм, пол. S=0,465 м</t>
    </r>
    <r>
      <rPr>
        <vertAlign val="superscript"/>
        <sz val="11"/>
        <rFont val="Arial"/>
        <family val="2"/>
        <charset val="204"/>
      </rPr>
      <t>2</t>
    </r>
    <r>
      <rPr>
        <sz val="11"/>
        <rFont val="Arial"/>
        <family val="2"/>
        <charset val="204"/>
      </rPr>
      <t>)</t>
    </r>
  </si>
  <si>
    <r>
      <t>1110 x 375 мм (1050 х 350 мм пол. S=0,368 м</t>
    </r>
    <r>
      <rPr>
        <vertAlign val="superscript"/>
        <sz val="11"/>
        <rFont val="Arial"/>
        <family val="2"/>
        <charset val="204"/>
      </rPr>
      <t>2</t>
    </r>
    <r>
      <rPr>
        <sz val="11"/>
        <rFont val="Arial"/>
        <family val="2"/>
        <charset val="204"/>
      </rPr>
      <t>)</t>
    </r>
  </si>
  <si>
    <r>
      <t>1290 x 360 мм (1230 х 320 мм пол. S=0,394 м</t>
    </r>
    <r>
      <rPr>
        <vertAlign val="superscript"/>
        <sz val="11"/>
        <rFont val="Arial"/>
        <family val="2"/>
        <charset val="204"/>
      </rPr>
      <t>2</t>
    </r>
    <r>
      <rPr>
        <sz val="11"/>
        <rFont val="Arial"/>
        <family val="2"/>
        <charset val="204"/>
      </rPr>
      <t>)</t>
    </r>
  </si>
  <si>
    <t>Профнастил/метал.сайдинг</t>
  </si>
  <si>
    <t>Плоский лист/отмотка/штрипс</t>
  </si>
  <si>
    <t>ZN 
0,35</t>
  </si>
  <si>
    <t>ZN 
0,4</t>
  </si>
  <si>
    <t>ZN 
0,5 (140г/м2)</t>
  </si>
  <si>
    <t>ZN 
0,55</t>
  </si>
  <si>
    <t>ZN 
0,7</t>
  </si>
  <si>
    <t>ZN 
0,8</t>
  </si>
  <si>
    <t>ZN 
0,9</t>
  </si>
  <si>
    <t>Металлический М/П и Круглый/Прямоугольный штакетник</t>
  </si>
  <si>
    <t>Print 0,45 двс</t>
  </si>
  <si>
    <t>ZN 
0,45</t>
  </si>
  <si>
    <t>Клещи прямые 60мм накладное соед.</t>
  </si>
  <si>
    <t>Клещи рамочные</t>
  </si>
  <si>
    <t>Шнек Drill-100/800</t>
  </si>
  <si>
    <t>Шнек Drill-200/800</t>
  </si>
  <si>
    <t>Адаптер пружинный для бензобура ADA</t>
  </si>
  <si>
    <t xml:space="preserve">Cменные лезвия для шнека ADA Frozen Ground </t>
  </si>
  <si>
    <t>Для приготовления топливно-маслянной смеси</t>
  </si>
  <si>
    <t>Дальномер лазерный Instrumax SNIPER 20</t>
  </si>
  <si>
    <t>Дальномер лазерный ADA Cosmo mini</t>
  </si>
  <si>
    <t>Дальномер лазерный Instrumax SNIPER 50</t>
  </si>
  <si>
    <t>Дальномер лазерный ADA Cosmo 70</t>
  </si>
  <si>
    <t>Дальномер лазерный с функцией уклономера ADA Cosmo 100</t>
  </si>
  <si>
    <t>Угломер электронный ADA AngleRuler 20</t>
  </si>
  <si>
    <t>Уровень электронный ADA ProLevel 40</t>
  </si>
  <si>
    <t>Уровень строительный ADA Titan 2000 (200 см)</t>
  </si>
  <si>
    <t>Нивелир лазерный ADA Cube mini Basic Edition</t>
  </si>
  <si>
    <t>Нивелир лазерный ADA Cube Professional Edition</t>
  </si>
  <si>
    <t>Нивелир лазерный ADA Cube 360 Basic Edition</t>
  </si>
  <si>
    <t>Нивелир лазерный ADA Cube 2-360 Basic Edition</t>
  </si>
  <si>
    <t>Приемник луча построителей плоскостей ADA LR-50</t>
  </si>
  <si>
    <t>Штатив элевационный ADA Elevation 16</t>
  </si>
  <si>
    <t>DRAP 0,45-0,5</t>
  </si>
  <si>
    <t>С 01.06.2015 по 09.02.2016 Динамика курса валюты Евро</t>
  </si>
  <si>
    <t>Евро (EUR, 978) с 01.01.1999 по 09.02.2016</t>
  </si>
  <si>
    <t>8017, 6005, 3005, 7024, 5005, RR32</t>
  </si>
  <si>
    <t>Планка финишная 46х25</t>
  </si>
  <si>
    <t>Композитная черепица Grand Line</t>
  </si>
  <si>
    <t>Лист композитной металлочерепицы Grand Line Classic 1-волновый</t>
  </si>
  <si>
    <t>примыкание к вертикальным элементам кровли (боковое, верхнее)</t>
  </si>
  <si>
    <t>Лист композитной металлочерепицы Grand Line Classic  3-волновый</t>
  </si>
  <si>
    <t xml:space="preserve">прижимная планка для оформления примыкания к вертикальным элементам кровли </t>
  </si>
  <si>
    <t>Лист композитной металлочерепицы Grand Line Classic  6-волновый</t>
  </si>
  <si>
    <t>вентилируемый карнизный свес, внешний излом ската</t>
  </si>
  <si>
    <t>невентилируемый карнизный свес, внутренний излом ската</t>
  </si>
  <si>
    <t>170х140 мм</t>
  </si>
  <si>
    <t>восстановления декоративного покрытия</t>
  </si>
  <si>
    <t>грунт - 1 л, глазурь - 0,5 л,                      каменная крошка - 1 кг</t>
  </si>
  <si>
    <t>305х300 мм</t>
  </si>
  <si>
    <t>Гвозди Decra</t>
  </si>
  <si>
    <t>2000 шт./уп.</t>
  </si>
  <si>
    <t>D 148 мм</t>
  </si>
  <si>
    <t>ендова нижняя, планка без базальтовой посыпки</t>
  </si>
  <si>
    <t>Насадка на дрель для раскроя металла по гильотинному принципу без образования стружки и искр</t>
  </si>
  <si>
    <t>Внимание! Прайс-лист действителен на территории Центрального федерального округа (ЦФО)</t>
  </si>
  <si>
    <t>Все цены указаны с НДС на складе завода Grand Line в г. Обнинск</t>
  </si>
  <si>
    <t>кленовый латте, мятный мокко</t>
  </si>
  <si>
    <r>
      <t>400 x 1150 мм             (355 х 1100 мм, пол. S=0,385 м</t>
    </r>
    <r>
      <rPr>
        <vertAlign val="superscript"/>
        <sz val="12"/>
        <rFont val="Arial"/>
        <family val="2"/>
        <charset val="204"/>
      </rPr>
      <t>2</t>
    </r>
    <r>
      <rPr>
        <sz val="12"/>
        <rFont val="Arial"/>
        <family val="2"/>
        <charset val="204"/>
      </rPr>
      <t>)</t>
    </r>
  </si>
  <si>
    <r>
      <t>1100 x 1150 мм          (1050 х 1100 мм, пол. S=1,155 м</t>
    </r>
    <r>
      <rPr>
        <vertAlign val="superscript"/>
        <sz val="12"/>
        <rFont val="Arial"/>
        <family val="2"/>
        <charset val="204"/>
      </rPr>
      <t>2</t>
    </r>
    <r>
      <rPr>
        <sz val="12"/>
        <rFont val="Arial"/>
        <family val="2"/>
        <charset val="204"/>
      </rPr>
      <t>)</t>
    </r>
  </si>
  <si>
    <r>
      <t>2150 x 1150 мм          (2100 х 1100 мм, пол. S=2,310 м</t>
    </r>
    <r>
      <rPr>
        <vertAlign val="superscript"/>
        <sz val="12"/>
        <rFont val="Arial"/>
        <family val="2"/>
        <charset val="204"/>
      </rPr>
      <t>2</t>
    </r>
    <r>
      <rPr>
        <sz val="12"/>
        <rFont val="Arial"/>
        <family val="2"/>
        <charset val="204"/>
      </rPr>
      <t>)</t>
    </r>
  </si>
  <si>
    <t>Инструмент для монтажа винтопор</t>
  </si>
  <si>
    <t>13200*</t>
  </si>
  <si>
    <t>цены действительны с 17.02.2016</t>
  </si>
  <si>
    <t>Панель BASTION 5/6 ЦИНК ячейка 200х55 мм диаметр прутка вертикального 4,8 мм диаметр прутка горизонтального 6 мм</t>
  </si>
  <si>
    <t>столб 51х1,2х1950
панель 1,74х3,1</t>
  </si>
  <si>
    <t>столб - 3,2
панель - 7</t>
  </si>
  <si>
    <t>** - конструкция сборная, продаётся комплектом , но панели и столбы поставляются отдельно</t>
  </si>
  <si>
    <r>
      <t xml:space="preserve">Секция временного ограждения (комплект)** </t>
    </r>
    <r>
      <rPr>
        <b/>
        <sz val="20"/>
        <color rgb="FFFF0000"/>
        <rFont val="Arial"/>
        <family val="2"/>
        <charset val="204"/>
      </rPr>
      <t xml:space="preserve">NEW
</t>
    </r>
    <r>
      <rPr>
        <sz val="20"/>
        <rFont val="Arial"/>
        <family val="2"/>
        <charset val="204"/>
      </rPr>
      <t>Панель временного ограждения 1,74х3,1 Zn - 1 шт
Столб временного ограждения 51х1,2х1950 Zn - 2 шт</t>
    </r>
  </si>
  <si>
    <t>Сетка сварная рулонная Metallurgica Frigerio S.p.A. Europlast
Италия</t>
  </si>
  <si>
    <t xml:space="preserve">Сетка сварная рулонная Moreda Rivere Trafilliers Jarditor
Испания                                                                               </t>
  </si>
  <si>
    <t>Сетка сварная рулонная 
Betafence Pantanet light 
Бельгия</t>
  </si>
  <si>
    <r>
      <t xml:space="preserve">Сопутствующие товары </t>
    </r>
    <r>
      <rPr>
        <b/>
        <sz val="44"/>
        <color indexed="10"/>
        <rFont val="Arial"/>
        <family val="2"/>
        <charset val="204"/>
      </rPr>
      <t>- Grand Line рекомендует!</t>
    </r>
  </si>
  <si>
    <r>
      <rPr>
        <b/>
        <sz val="48"/>
        <rFont val="Arial"/>
        <family val="2"/>
        <charset val="204"/>
      </rPr>
      <t>Панели термоформованные "Я-фасад"</t>
    </r>
    <r>
      <rPr>
        <sz val="48"/>
        <rFont val="Arial"/>
        <family val="2"/>
        <charset val="204"/>
      </rPr>
      <t xml:space="preserve"> </t>
    </r>
    <r>
      <rPr>
        <b/>
        <sz val="48"/>
        <color indexed="10"/>
        <rFont val="Arial"/>
        <family val="2"/>
        <charset val="204"/>
      </rPr>
      <t>NEW</t>
    </r>
  </si>
  <si>
    <t>Расход в среднем 4 шт на 1,5 п.м. периметра дома</t>
  </si>
  <si>
    <t>Размеры изделия*, мм</t>
  </si>
  <si>
    <t>Размеры изделия, мм</t>
  </si>
  <si>
    <t>Серия «Люкс»</t>
  </si>
  <si>
    <t>ДЫМНИК-ФЛЮГЕР ВИНДВУДУ на трубу</t>
  </si>
  <si>
    <t>Стильные штучки для дома и дачи</t>
  </si>
  <si>
    <t>Флюгер Люкс большой</t>
  </si>
  <si>
    <t>950 x 300</t>
  </si>
  <si>
    <t>Флюгер-дымник Аист, Дракон, Орел 
110-130 и 130-150</t>
  </si>
  <si>
    <t>Для каждого вида свой</t>
  </si>
  <si>
    <t xml:space="preserve">  Таблички </t>
  </si>
  <si>
    <t>330 х 250 х 1</t>
  </si>
  <si>
    <t>Флюгер-дымник Аист, Дракон, Орел 
150-170 и 170-190</t>
  </si>
  <si>
    <t>Серия «Оптимус»</t>
  </si>
  <si>
    <t>Флюгер-дымник Аист, Дракон, Орел 
200-230 и 230-250</t>
  </si>
  <si>
    <t>Крючок-сплит</t>
  </si>
  <si>
    <t>100 х 50 х 20</t>
  </si>
  <si>
    <t>Флюгер большой</t>
  </si>
  <si>
    <t>810 х 350</t>
  </si>
  <si>
    <t>Флюгер-дымник Аист, Дракон, Орел 
250-280 и 280-300</t>
  </si>
  <si>
    <t>1100 х 400</t>
  </si>
  <si>
    <t>КОЛПАК ПАРАДНЫЙ ВИНДВУДУ на забор</t>
  </si>
  <si>
    <t>Крючки двухрожковые</t>
  </si>
  <si>
    <t>90 х 75 х 23</t>
  </si>
  <si>
    <t xml:space="preserve">  КОЛПАК ПАРАДНЫЙ «ВИНДВУДУ» 
Аист, Дракон, Орел</t>
  </si>
  <si>
    <t>Флюгер большой "эконом"</t>
  </si>
  <si>
    <t>Колпаки-дефлекторы ВИНДВУДУ на вентиляционный выход</t>
  </si>
  <si>
    <t>Крючки трехрожковые</t>
  </si>
  <si>
    <t>90 х 170 х 23</t>
  </si>
  <si>
    <t>Колпак-дефлекор "Виндвуду" 
Аист, Дракон, Орел 
для неизолированных вент.выходов с внешним диаметром 110 мм
Цвета: RАL8004 Кирпичный, RAL8017 Коричневый, RAL6005 Зеленый, RAL9005 Черный</t>
  </si>
  <si>
    <t>Серия «Подарочный»</t>
  </si>
  <si>
    <t>Крючки четырехрожковые</t>
  </si>
  <si>
    <t>Флюгер малый</t>
  </si>
  <si>
    <t>650 х 220</t>
  </si>
  <si>
    <t>Колпак-дефлекор "Виндвуду" 
Аист, Дракон, Орел 
для изолированных вент.выходов с внешним диаметром 160 мм
Цвета: RАL8004 Кирпичный, RAL8017 Коричневый, RAL6005 Зеленый, RAL9005 Черный</t>
  </si>
  <si>
    <t>Ключницы</t>
  </si>
  <si>
    <t>90 х 190 х 18</t>
  </si>
  <si>
    <t>Указатель ветра малый</t>
  </si>
  <si>
    <t>800 х 250</t>
  </si>
  <si>
    <t>Подсумочник (держатель для сумки)</t>
  </si>
  <si>
    <t>110 х 100 х 20</t>
  </si>
  <si>
    <t>Крепления дополнительные</t>
  </si>
  <si>
    <t>Держатели для цветов и кронштейны</t>
  </si>
  <si>
    <t>Термометр уличный</t>
  </si>
  <si>
    <t>330 х 220 х 6</t>
  </si>
  <si>
    <t>30 x 150 x 550</t>
  </si>
  <si>
    <t xml:space="preserve">Держатель для цветов </t>
  </si>
  <si>
    <t>325 х 200 х 35</t>
  </si>
  <si>
    <t>Крепление винтовое на конек (для серии Оптимус)</t>
  </si>
  <si>
    <t>25 x 105 x 370</t>
  </si>
  <si>
    <t>Кронштейн</t>
  </si>
  <si>
    <t>400 х 270 х 3,5</t>
  </si>
  <si>
    <t>Термометр комнатный</t>
  </si>
  <si>
    <t>95х150х6</t>
  </si>
  <si>
    <t>Крепление винтовое на конек (для серии Подарочный)</t>
  </si>
  <si>
    <t>Комплекты ФЛАГИ</t>
  </si>
  <si>
    <t>Комплект № 1: Флаг - 1 шт., Древко - 2 шт., Кронштейн настенный "Классика" двойной, Георгий, черный</t>
  </si>
  <si>
    <t>Цифры высотой 70 мм</t>
  </si>
  <si>
    <t>70 х 65 х 3</t>
  </si>
  <si>
    <t>Крепление на дымник  (для серии Оптимус)</t>
  </si>
  <si>
    <t>30 x 110 x 600</t>
  </si>
  <si>
    <t>Комплект №2: Флаг - 1 шт., Древко - 3 шт., Кронштейн настенный "Классика" тройной, Орел, черный</t>
  </si>
  <si>
    <t>Цифры высотой 110 мм</t>
  </si>
  <si>
    <t>110 х 102 х 3</t>
  </si>
  <si>
    <t>Крепление на колпак (для серии Подарочный)</t>
  </si>
  <si>
    <t>Комплект №3: Флаг - 1 шт., Древко - 1 шт., Кронштейн настенный "Элегант" Георгий, одинарный, щит красный/георгий золото</t>
  </si>
  <si>
    <t>Информационные знаки</t>
  </si>
  <si>
    <t>D 100</t>
  </si>
  <si>
    <t>Комплект №4: Флаг - 1 шт., Древко - 1 шт., Кронштейн настенный "Элегант" Орел, одинарный, щит красный/орел золото</t>
  </si>
  <si>
    <t>Информационные знаки на штоке</t>
  </si>
  <si>
    <t>Н 1500, 
D 390</t>
  </si>
  <si>
    <t>Все цены указаны с учетом НДС.</t>
  </si>
  <si>
    <t>* - Для флюгеров и указателей ветра указаны размеры в собранном виде</t>
  </si>
  <si>
    <t>** - Для флюгеров-дымников указан диаметр выходного отверстия трубы</t>
  </si>
  <si>
    <t>Для флюгера большого Люкс в комплекте крепление на конек.
Для флюгера большого Оптимус в комплекте крепление на фронтон.
Для указателя ветра большого Оптимус в комплекте крепление на фронтон.Для флюгера малого Падарочный в комплектк крепление на фронтон.Для указателя ветра малого Подарочный в комплекте крепление на фронтон.</t>
  </si>
  <si>
    <t>VELUX GZL 1059 (модель "эконом" класса, ручка сверху)**</t>
  </si>
  <si>
    <t>VELUX GGL 3073 (модель "комфорт" класса)**</t>
  </si>
  <si>
    <t>VELUX GZL 1059 b (модель "эконом" класса, ручка снизу)**</t>
  </si>
  <si>
    <t>VELUX GZL-b 1073 (модель "эконом" класса, ручка снизу, "триплекс")**</t>
  </si>
  <si>
    <t>VELUX GPL 3073 (модель с двумя типами открывания)**</t>
  </si>
  <si>
    <t xml:space="preserve">VELUX Мансардные окна, аксессуары для окон НОВОГО ПОКОЛЕНИЯ OPTIMA </t>
  </si>
  <si>
    <t>OPTIMA мансардные окна</t>
  </si>
  <si>
    <t>СR02</t>
  </si>
  <si>
    <t>СR04</t>
  </si>
  <si>
    <t>FR04</t>
  </si>
  <si>
    <t>FR06</t>
  </si>
  <si>
    <t>MR04</t>
  </si>
  <si>
    <t>MR06</t>
  </si>
  <si>
    <t>MR08</t>
  </si>
  <si>
    <t>MR10</t>
  </si>
  <si>
    <t>PR06</t>
  </si>
  <si>
    <t>PR08</t>
  </si>
  <si>
    <t>SR06</t>
  </si>
  <si>
    <t>SR08</t>
  </si>
  <si>
    <t>Площадь остекления, кв.м.</t>
  </si>
  <si>
    <t>Класс Стандарт</t>
  </si>
  <si>
    <t>GZR 3050 (модель "ручка сверху" дерево)</t>
  </si>
  <si>
    <t>GZR 3050B (модель "ручка снизу" дерево) для высоких пристенков</t>
  </si>
  <si>
    <t>Класс Комфорт</t>
  </si>
  <si>
    <t>GLR 3073BIS  (модель "ручка снизу" дерево) для высоких пристенков</t>
  </si>
  <si>
    <t>GLR 3073BTIS (модель "универсал:две ручки" дерево)</t>
  </si>
  <si>
    <t>GLP 0073BIS (модель"белый пластик:ручка снизу")для высоких пристенков</t>
  </si>
  <si>
    <t>Аксессуары для электроуправления</t>
  </si>
  <si>
    <t>Комплект для модернизации AMC 100</t>
  </si>
  <si>
    <t>Сенсорный пульт KLP 200</t>
  </si>
  <si>
    <t>OPTIMA установка и отделка</t>
  </si>
  <si>
    <t>Водонепроницаемый оклад</t>
  </si>
  <si>
    <t>Оклад EWR 0000 для проф. кровли (высота волны до 120мм)</t>
  </si>
  <si>
    <t>Оклад ESR 0000 для плоской кровли (толщина мат-ла - до 16 мм)</t>
  </si>
  <si>
    <t>Гидро- и теплоизоляция</t>
  </si>
  <si>
    <t>Гидро- и теплоизоляция BDX 2000</t>
  </si>
  <si>
    <t>Гидроизоляция BFX 1000</t>
  </si>
  <si>
    <t>Пароизоляция BBX 0000</t>
  </si>
  <si>
    <t>Качественная внутренняя отделка</t>
  </si>
  <si>
    <t xml:space="preserve">Откосы LSC 2000 (пароизоляция в комплекте) </t>
  </si>
  <si>
    <t>Комплект для самодельн. откоса LSG 1000 (пароизоляция в комплекте)</t>
  </si>
  <si>
    <t>Оклады для комбинированной установки окон OPTIMA</t>
  </si>
  <si>
    <t>Оклад EWK 0021</t>
  </si>
  <si>
    <t>Оклад ESK 0021</t>
  </si>
  <si>
    <t>Оклад EWK 0031</t>
  </si>
  <si>
    <t>Оклад ESK 0031</t>
  </si>
  <si>
    <t>Оклад EWK 0012</t>
  </si>
  <si>
    <t>Оклад ESK 0012</t>
  </si>
  <si>
    <r>
      <t xml:space="preserve">Лестница Velta </t>
    </r>
    <r>
      <rPr>
        <b/>
        <sz val="16"/>
        <rFont val="Arial"/>
        <family val="2"/>
        <charset val="204"/>
      </rPr>
      <t xml:space="preserve">"Эконом" </t>
    </r>
    <r>
      <rPr>
        <sz val="16"/>
        <rFont val="Arial"/>
        <family val="2"/>
        <charset val="204"/>
      </rPr>
      <t xml:space="preserve">NLL2610В-складная, деревянная, неутепленная неокрашенная крышка люка из обработанной ДСП, 16 мм. Комплект: пластиковые наконечники </t>
    </r>
    <r>
      <rPr>
        <b/>
        <sz val="16"/>
        <color indexed="10"/>
        <rFont val="Arial"/>
        <family val="2"/>
        <charset val="204"/>
      </rPr>
      <t>NEW</t>
    </r>
  </si>
  <si>
    <r>
      <t xml:space="preserve">Лестница Velta </t>
    </r>
    <r>
      <rPr>
        <b/>
        <sz val="16"/>
        <rFont val="Arial"/>
        <family val="2"/>
        <charset val="204"/>
      </rPr>
      <t>"Престиж"</t>
    </r>
    <r>
      <rPr>
        <sz val="16"/>
        <rFont val="Arial"/>
        <family val="2"/>
        <charset val="204"/>
      </rPr>
      <t xml:space="preserve"> NLL7630-складная, деревянная, с белой утепленной крышкой люка из МДФ, 76 мм. Комплект: белые наконечники, пластиковые наконечники, поручень, стержень для открывания </t>
    </r>
    <r>
      <rPr>
        <b/>
        <sz val="16"/>
        <color indexed="10"/>
        <rFont val="Arial"/>
        <family val="2"/>
        <charset val="204"/>
      </rPr>
      <t>NEW</t>
    </r>
  </si>
  <si>
    <r>
      <t xml:space="preserve">Лестница Velta </t>
    </r>
    <r>
      <rPr>
        <b/>
        <sz val="16"/>
        <rFont val="Arial"/>
        <family val="2"/>
        <charset val="204"/>
      </rPr>
      <t>"Стандарт"</t>
    </r>
    <r>
      <rPr>
        <sz val="16"/>
        <rFont val="Arial"/>
        <family val="2"/>
        <charset val="204"/>
      </rPr>
      <t xml:space="preserve"> NLL3610-складная, деревянная, 3 секции ClickFix. Комплект: насадки на ножки, стержень для открывания​ </t>
    </r>
    <r>
      <rPr>
        <b/>
        <sz val="16"/>
        <color indexed="10"/>
        <rFont val="Arial"/>
        <family val="2"/>
        <charset val="204"/>
      </rPr>
      <t>NEW</t>
    </r>
  </si>
  <si>
    <r>
      <t xml:space="preserve">Лестница Velta </t>
    </r>
    <r>
      <rPr>
        <b/>
        <sz val="16"/>
        <rFont val="Arial"/>
        <family val="2"/>
        <charset val="204"/>
      </rPr>
      <t>"Стандарт-Компакт"</t>
    </r>
    <r>
      <rPr>
        <sz val="16"/>
        <rFont val="Arial"/>
        <family val="2"/>
        <charset val="204"/>
      </rPr>
      <t xml:space="preserve"> NLL3620-складная, деревянная, 4 секции ClickFix. Комплект: насадки на ножки, стержень для открывания​ </t>
    </r>
    <r>
      <rPr>
        <b/>
        <sz val="16"/>
        <color indexed="10"/>
        <rFont val="Arial"/>
        <family val="2"/>
        <charset val="204"/>
      </rPr>
      <t>NEW</t>
    </r>
  </si>
  <si>
    <r>
      <t xml:space="preserve">Лестница Velta </t>
    </r>
    <r>
      <rPr>
        <b/>
        <sz val="16"/>
        <rFont val="Arial"/>
        <family val="2"/>
        <charset val="204"/>
      </rPr>
      <t>"Уют"</t>
    </r>
    <r>
      <rPr>
        <sz val="16"/>
        <rFont val="Arial"/>
        <family val="2"/>
        <charset val="204"/>
      </rPr>
      <t xml:space="preserve">  NLL5620-складная, деревянная, 3 секции ClickFix. Комплект: насадки на ножки, стержень для открывания​, поручень </t>
    </r>
    <r>
      <rPr>
        <b/>
        <sz val="16"/>
        <color indexed="10"/>
        <rFont val="Arial"/>
        <family val="2"/>
        <charset val="204"/>
      </rPr>
      <t>NEW</t>
    </r>
  </si>
  <si>
    <t xml:space="preserve">VELUX Мансардные окна, аксессуары для окон НОВОГО ПОКОЛЕНИЯ PREMIUM </t>
  </si>
  <si>
    <t>PREMIUM мансардные окна</t>
  </si>
  <si>
    <t>СK02</t>
  </si>
  <si>
    <t>СK04</t>
  </si>
  <si>
    <t>FK04</t>
  </si>
  <si>
    <t>FK06</t>
  </si>
  <si>
    <t>MK04</t>
  </si>
  <si>
    <t>MK06</t>
  </si>
  <si>
    <t>MK08</t>
  </si>
  <si>
    <t>MK10</t>
  </si>
  <si>
    <t>PK06</t>
  </si>
  <si>
    <t>PK08</t>
  </si>
  <si>
    <t>SK06</t>
  </si>
  <si>
    <t>SK08</t>
  </si>
  <si>
    <t xml:space="preserve">VELUX GGL 3070 (модель "классика дерево") </t>
  </si>
  <si>
    <t xml:space="preserve">VELUX GGU 0070 (модель "классика полиуретан") </t>
  </si>
  <si>
    <t xml:space="preserve">VELUX GGL 3066IS2 (модель "супертеплое дерево") </t>
  </si>
  <si>
    <t xml:space="preserve">VELUX GGL 0066IS2 (модель "супертеплое полиуретан") </t>
  </si>
  <si>
    <t>VELUX GPL 3070 (модель "панорама дерево")</t>
  </si>
  <si>
    <t>VELUX GPU 0070 (модель "панорама полиуретан")</t>
  </si>
  <si>
    <t>VELUX INTEGRA GGL 307021 (модель "с дист. упр. дерево")</t>
  </si>
  <si>
    <t>Электромотор</t>
  </si>
  <si>
    <t>Система управления</t>
  </si>
  <si>
    <t>Сенсорный пульт</t>
  </si>
  <si>
    <t>Комплект на солн. батарее</t>
  </si>
  <si>
    <t>Подсветка</t>
  </si>
  <si>
    <t>PREMIUM установка и отделка</t>
  </si>
  <si>
    <t>Водонепроницаемый оклад в комплекте с гидро- и теплоизоляцией</t>
  </si>
  <si>
    <t>Оклад EDW 2000 для профилированной кровли (высота волны - до 120 мм)</t>
  </si>
  <si>
    <t>Оклад EDS 2000 для плоской кровли (толщина мат-ла - до 16 мм)</t>
  </si>
  <si>
    <t xml:space="preserve">Оклады для комбинированной установки окон PREMIUM </t>
  </si>
  <si>
    <t>Оклад EKW 0021</t>
  </si>
  <si>
    <t>Оклад EKS 0021</t>
  </si>
  <si>
    <t>Аварийный выход на кровлю GTL 3070</t>
  </si>
  <si>
    <t>Выход на кровлю GXL 3070</t>
  </si>
  <si>
    <t>МК31</t>
  </si>
  <si>
    <t>МК34</t>
  </si>
  <si>
    <t>МК35</t>
  </si>
  <si>
    <t>МК04</t>
  </si>
  <si>
    <t>МК06</t>
  </si>
  <si>
    <t>МК08</t>
  </si>
  <si>
    <t>МК10</t>
  </si>
  <si>
    <t>РК08</t>
  </si>
  <si>
    <t>РК31</t>
  </si>
  <si>
    <t>РК34</t>
  </si>
  <si>
    <t>РК35</t>
  </si>
  <si>
    <t>РК19</t>
  </si>
  <si>
    <t>SK31</t>
  </si>
  <si>
    <t>SK35</t>
  </si>
  <si>
    <t>SK19</t>
  </si>
  <si>
    <t>78х60</t>
  </si>
  <si>
    <t>78х92</t>
  </si>
  <si>
    <t>78х95</t>
  </si>
  <si>
    <t>94х60</t>
  </si>
  <si>
    <t>94х92</t>
  </si>
  <si>
    <t>94х95</t>
  </si>
  <si>
    <t>94х252</t>
  </si>
  <si>
    <t>114х60</t>
  </si>
  <si>
    <t>114х95</t>
  </si>
  <si>
    <t>114х252</t>
  </si>
  <si>
    <t>Доп. элемент GIL 3073</t>
  </si>
  <si>
    <t>Окно-балкон GDL 3066</t>
  </si>
  <si>
    <t>Окно-балкон EDW 0000</t>
  </si>
  <si>
    <t>Окно-балкон EDS 0000</t>
  </si>
  <si>
    <t xml:space="preserve">Карнизное окно VFE 3073 </t>
  </si>
  <si>
    <t>Карнизное окно EFW 0012</t>
  </si>
  <si>
    <t>Карнизное окно EFS 0012</t>
  </si>
  <si>
    <t>Шторы, жалюзи, рольставни</t>
  </si>
  <si>
    <t>Рулонная штора RFL на направл. 1028, 1086, 4000</t>
  </si>
  <si>
    <t>Рулонная штора RHL на крючках 1028, 1086, 4000, 9050</t>
  </si>
  <si>
    <t>Рулонная штора RML с электропр. 1028, 1086, 4000</t>
  </si>
  <si>
    <t xml:space="preserve">Штора "Сиеста" DKL </t>
  </si>
  <si>
    <t>Штора "Дуо" DFD</t>
  </si>
  <si>
    <t>Жалюзи PAL</t>
  </si>
  <si>
    <t>Жалюзи с электроприв. PML</t>
  </si>
  <si>
    <t>Маркизет к Velux Optima MIV</t>
  </si>
  <si>
    <t>Маркизет к Velux Premium MHL</t>
  </si>
  <si>
    <t>Рольставни электр. SML</t>
  </si>
  <si>
    <t>Москитная сетка ZIL</t>
  </si>
  <si>
    <t>Аксессуары, ручное управление</t>
  </si>
  <si>
    <t>Стержень ZCT 200K (102-183 см)</t>
  </si>
  <si>
    <t>Доп.элемент ZCT 100 для ZCT 200K</t>
  </si>
  <si>
    <t>Стержень ZCZ 040</t>
  </si>
  <si>
    <t>Адаптер ZOZ 040</t>
  </si>
  <si>
    <t>Адаптер ZOZ 085</t>
  </si>
  <si>
    <t>Замок ZOZ 012K</t>
  </si>
  <si>
    <t>VELUX Мансардные окна, аксессуары для окон_распродаются до окончания остатков на складах</t>
  </si>
  <si>
    <t>ВНИМАНИЕ! Нельзя комбинировать окна и оклады старого и нового поколения</t>
  </si>
  <si>
    <t>срок доставки на складские позиции - 3 дня, на заказные - уточняйте у менеджера</t>
  </si>
  <si>
    <t>РЕ</t>
  </si>
  <si>
    <t>Прямоугольный желоб,  2,5м</t>
  </si>
  <si>
    <t>Прямоугольная труба, 2,5м</t>
  </si>
  <si>
    <r>
      <t xml:space="preserve">Zn </t>
    </r>
    <r>
      <rPr>
        <b/>
        <sz val="18"/>
        <color rgb="FFFF0000"/>
        <rFont val="Arial"/>
        <family val="2"/>
        <charset val="204"/>
      </rPr>
      <t>NEW</t>
    </r>
  </si>
  <si>
    <t>595*</t>
  </si>
  <si>
    <t>571*</t>
  </si>
  <si>
    <t>618*</t>
  </si>
  <si>
    <t>662*</t>
  </si>
  <si>
    <t>Гвозди (1,5 кг), черные, красные</t>
  </si>
  <si>
    <t>Карнизное окно, доп. элементы, окно-балкон, выход на кровлю</t>
  </si>
  <si>
    <t>Выход на кровлю</t>
  </si>
  <si>
    <t>Выход на кровлю GVT 0059 103 (54х83)</t>
  </si>
  <si>
    <t>Выход на кровлю VLT 1000 025 (45х55)</t>
  </si>
  <si>
    <t>Выход на кровлю VLT 1000 029 (45х73)</t>
  </si>
  <si>
    <t>Выход на кровлю VLT 1000 033 (85х85)</t>
  </si>
  <si>
    <t>0,6х0,22х0,11</t>
  </si>
  <si>
    <t xml:space="preserve">1,2х58,33м=70 м² </t>
  </si>
  <si>
    <r>
      <t xml:space="preserve">OSB-3 плита 2,5м*1,25м*9мм Кроношпан (Беларусь) </t>
    </r>
    <r>
      <rPr>
        <b/>
        <sz val="10"/>
        <color rgb="FFFF0000"/>
        <rFont val="Arial Cyr"/>
        <charset val="204"/>
      </rPr>
      <t>NEW</t>
    </r>
  </si>
  <si>
    <t>Мастика и гвозди для гибкой черепицы</t>
  </si>
  <si>
    <t>Конек/Карниз для коллекций Финская, Ранчо</t>
  </si>
  <si>
    <t>Конек/Карниз для коллекций Кантри, Классик, Ультра, Джаз, Вестерн, Континент</t>
  </si>
  <si>
    <t>Подкладочный ковер ANDEREP GL</t>
  </si>
  <si>
    <t>рулон, 15 м² (15 х 1)</t>
  </si>
  <si>
    <t>Подкладочный ковер под Гибкую черепицу ХММ</t>
  </si>
  <si>
    <t xml:space="preserve"> рулон, 15 м² (15 х 1)</t>
  </si>
  <si>
    <t>Коньковый аэратор ТехноНИКОЛЬ</t>
  </si>
  <si>
    <t>0,61 х 0,29 м</t>
  </si>
  <si>
    <t>упаковка, 3 м²=7,2 п/м конька = 12 п/м карниза</t>
  </si>
  <si>
    <t>Velur20
Safari</t>
  </si>
  <si>
    <t xml:space="preserve">Drap </t>
  </si>
  <si>
    <t>Пленка отражающая паро-гидроизоляция Изоспан FS</t>
  </si>
  <si>
    <t>Клейкая алюминиевая лента Изоспан FL Termo</t>
  </si>
  <si>
    <r>
      <t xml:space="preserve">Гидроизоляционная мембрана Изоспан-D </t>
    </r>
    <r>
      <rPr>
        <b/>
        <sz val="10"/>
        <color rgb="FFFF0000"/>
        <rFont val="Arial"/>
        <family val="2"/>
        <charset val="204"/>
      </rPr>
      <t>NEW</t>
    </r>
  </si>
  <si>
    <r>
      <t xml:space="preserve">Нивелир лазерный ADA ARMO 3D </t>
    </r>
    <r>
      <rPr>
        <b/>
        <sz val="10"/>
        <color rgb="FFFF0000"/>
        <rFont val="Arial"/>
        <family val="2"/>
        <charset val="204"/>
      </rPr>
      <t>NEW</t>
    </r>
  </si>
  <si>
    <r>
      <t xml:space="preserve">Нивелир лазерный ADA 3D Liner 2V </t>
    </r>
    <r>
      <rPr>
        <b/>
        <sz val="10"/>
        <color rgb="FFFF0000"/>
        <rFont val="Arial"/>
        <family val="2"/>
        <charset val="204"/>
      </rPr>
      <t>NEW</t>
    </r>
  </si>
  <si>
    <r>
      <t xml:space="preserve">Нивелир лазерный ADA 3D Liner 3V </t>
    </r>
    <r>
      <rPr>
        <b/>
        <sz val="10"/>
        <color rgb="FFFF0000"/>
        <rFont val="Arial"/>
        <family val="2"/>
        <charset val="204"/>
      </rPr>
      <t>NEW</t>
    </r>
  </si>
  <si>
    <t>Штатив элевационный ADA Elevation 16B</t>
  </si>
  <si>
    <r>
      <t xml:space="preserve">Штатив фото/видео ADA Digit 130 </t>
    </r>
    <r>
      <rPr>
        <b/>
        <sz val="10"/>
        <color rgb="FFFF0000"/>
        <rFont val="Arial"/>
        <family val="2"/>
        <charset val="204"/>
      </rPr>
      <t>NEW</t>
    </r>
  </si>
  <si>
    <r>
      <t xml:space="preserve">Штатив-штанга элевационный ADA Silver с треногой </t>
    </r>
    <r>
      <rPr>
        <b/>
        <sz val="10"/>
        <color rgb="FFFF0000"/>
        <rFont val="Arial"/>
        <family val="2"/>
        <charset val="204"/>
      </rPr>
      <t>NEW</t>
    </r>
  </si>
  <si>
    <r>
      <t xml:space="preserve">Переходник (адаптер) ADA Ball Adapter 5/8" to 1/4" </t>
    </r>
    <r>
      <rPr>
        <b/>
        <sz val="10"/>
        <color rgb="FFFF0000"/>
        <rFont val="Arial"/>
        <family val="2"/>
        <charset val="204"/>
      </rPr>
      <t>NEW</t>
    </r>
  </si>
  <si>
    <t>Позволяет крепить лазерные уровни с резьбой 1/4 дюйма на штативы и крепления с резьбой 5/8 дюйма, есть шарнир</t>
  </si>
  <si>
    <t>Наценки на сайдинг и фальц:</t>
  </si>
  <si>
    <t>1,2/9</t>
  </si>
  <si>
    <t>При заказе  Панелей с ячейкой 200*50 к стоимости Панелей с ячейкой 200*55 применяется коэффициент 1,07</t>
  </si>
  <si>
    <t>При заказе  Панелей с ячейкой 100*50 к стоимости Панелей с ячейкой 200*50 применяется коэффициент 1,20</t>
  </si>
  <si>
    <t>При заказе  Панелей с ячейкой 150*50 к стоимости Панелей с ячейкой 200*50 применяется коэффициент 1,10</t>
  </si>
  <si>
    <t>При заказе  Панелей с ячейкой 200*60 к стоимости Панелей с ячейкой 200*55 применяется коэффициент 0,95</t>
  </si>
  <si>
    <t>диаметр 150/100 - RAL 8017, RAL 9003, RR 32</t>
  </si>
  <si>
    <t xml:space="preserve">* ВНИМАНИЕ! В случае, если доля доборных элементов в заказе составляет менее 40%, цена панели сайдинга  может 
быть увеличена до 40%. </t>
  </si>
  <si>
    <t xml:space="preserve">** Цена по акции (красная колонка прайс-листа) предназначена для мероприятий и акций, связанных с продвижением винилового 
сайдинга в розничных точках продаж компании GrandLine и ее клиентов, и ни  в какой ситуации не может быть использована для расчета дилерских и иных отпускных цен. </t>
  </si>
  <si>
    <t>Если в заказе присутствует только сайдинг  без каких либо доборных элементов, поставщик оставляет за собой право отказать в отгрузке заказа.</t>
  </si>
  <si>
    <t>цены действительны с 20.03.2016</t>
  </si>
  <si>
    <t>Название</t>
  </si>
  <si>
    <t>Розничная цена руб./шт</t>
  </si>
  <si>
    <t>Лист Luxard Classic (цвета: алланит, бордо, коралл, мокко, пробка, абсент)</t>
  </si>
  <si>
    <r>
      <t>1350 x 415 мм (пол. S=0,47 м</t>
    </r>
    <r>
      <rPr>
        <vertAlign val="superscript"/>
        <sz val="14"/>
        <rFont val="Arial"/>
        <family val="2"/>
        <charset val="204"/>
      </rPr>
      <t>2</t>
    </r>
    <r>
      <rPr>
        <sz val="14"/>
        <rFont val="Arial"/>
        <family val="2"/>
        <charset val="204"/>
      </rPr>
      <t>)</t>
    </r>
  </si>
  <si>
    <t>Лист Luxard Roman (цвета: алланит, бордо, коралл, мокко, пробка, абсент, оникс, малахит, гранат)</t>
  </si>
  <si>
    <t>1330 x 430 мм (пол. S=0,47 м2)</t>
  </si>
  <si>
    <t>1600х500 мм, красный, черный, коричневый</t>
  </si>
  <si>
    <t>см. основной прайс</t>
  </si>
  <si>
    <t>Прижимная планка (применяется при использовании гофр. ленты примыкания)</t>
  </si>
  <si>
    <t>Проходной элемент DECRA (для панелей Classic)</t>
  </si>
  <si>
    <t>Проходной элемент VILPE UNIVERSAL (для панелей Roman)</t>
  </si>
  <si>
    <t>Аэроэлемент конька/хребта Luxard (коричневый, красный, черный)</t>
  </si>
  <si>
    <t>Лента вентиляционная Luxard, коричневая</t>
  </si>
  <si>
    <t>Саморезы Luxard (черный, коричневый, зеленый, бордо, антик)</t>
  </si>
  <si>
    <t>Гвозди (черный)</t>
  </si>
  <si>
    <r>
      <t xml:space="preserve">Гвозди ершеные черные </t>
    </r>
    <r>
      <rPr>
        <sz val="14"/>
        <color rgb="FFFF0000"/>
        <rFont val="Arial"/>
        <family val="2"/>
        <charset val="204"/>
      </rPr>
      <t>NEW</t>
    </r>
  </si>
  <si>
    <t>Рычажные ножницы по маталлу для выкройки простых и сложных заготовок</t>
  </si>
  <si>
    <t>*  данные позиции являются заказными. Все заказные и нестандартные позиции подтверждения заказа возврату и обмену не подлежат</t>
  </si>
  <si>
    <t>Внимание! Прайс-лист действителен на территории Центрального федерального округа (ЦФО), Южного федерального округа (ЮФО) и Северо-Кавказского федерального округа (СКФО), Приволжского федерального округа (ПФО), Северо-Западного федерального округа (СЗФО)</t>
  </si>
  <si>
    <t>** Стандартные цвета продукции LUXARD: абсент, бордо, коралл, мокко, пробка, алланит. Возможно изготовление на заказ продукции нестандартного цвета и доборных элементов нестандартного размера (по чертежам Заказчика). Возможность, сроки изготовления и цена на нестандартную продукцию согласовываются с заводом.</t>
  </si>
  <si>
    <t>Все цены указаны с НДС на складах заводов Grand Line</t>
  </si>
  <si>
    <t>Черепица</t>
  </si>
  <si>
    <t>Окна, оклады, лестницы</t>
  </si>
  <si>
    <r>
      <t>Стандартные цвета</t>
    </r>
    <r>
      <rPr>
        <sz val="40"/>
        <rFont val="Arial"/>
        <family val="2"/>
        <charset val="204"/>
      </rPr>
      <t>: бежевый, ванильный, желтый, персиковый, салатовый, серый, белый, сандаловый, кремовый, голубой</t>
    </r>
  </si>
  <si>
    <t>цены действительны с 22.03.2016 г.</t>
  </si>
  <si>
    <t>Кровельный (переходной) мостик 1,25 м**</t>
  </si>
  <si>
    <t>Кровельный (переходной) мостик 1,25 м (для фальцевой кровли)**</t>
  </si>
  <si>
    <t>Штакетник П/М-образный Фигурный (п.м.)</t>
  </si>
  <si>
    <t>Штакетник П/М-образный (п.м.)</t>
  </si>
  <si>
    <t>128/118</t>
  </si>
  <si>
    <t>100/100</t>
  </si>
  <si>
    <r>
      <t>Наконечник для уличного освещения</t>
    </r>
    <r>
      <rPr>
        <b/>
        <sz val="16"/>
        <color rgb="FFFF0000"/>
        <rFont val="Arial"/>
        <family val="2"/>
        <charset val="204"/>
      </rPr>
      <t xml:space="preserve"> NEW</t>
    </r>
  </si>
  <si>
    <t>78,5 х 40,5</t>
  </si>
  <si>
    <t>GLR 3073IS (модель "ручка сверху" дерево)</t>
  </si>
  <si>
    <r>
      <t xml:space="preserve">Колесо измерительное электронное ADA Wheel 1000 Digital </t>
    </r>
    <r>
      <rPr>
        <b/>
        <sz val="10"/>
        <color rgb="FFFF0000"/>
        <rFont val="Arial"/>
        <family val="2"/>
        <charset val="204"/>
      </rPr>
      <t>NEW</t>
    </r>
  </si>
  <si>
    <t>карамельный,
темно-бежевый,
золотой песок</t>
  </si>
  <si>
    <t>VELUX INTEGRA GGU 007021 (модель "с дист. упр. полиуретан")</t>
  </si>
  <si>
    <t>Плоский лист/Штрипс, отмотка</t>
  </si>
  <si>
    <t>0,5-4,5/0,5-4,5(50)</t>
  </si>
  <si>
    <t>зеленый RAL 6005/коричневый RAL 8017</t>
  </si>
  <si>
    <r>
      <rPr>
        <b/>
        <sz val="24"/>
        <rFont val="Arial Cyr"/>
        <charset val="204"/>
      </rPr>
      <t xml:space="preserve">Комплект ворот включает в себя: </t>
    </r>
    <r>
      <rPr>
        <sz val="24"/>
        <rFont val="Arial Cyr"/>
        <charset val="204"/>
      </rPr>
      <t xml:space="preserve">2 створки, 2 опорных столба, петли Locinox GAM12, угол открывания 130 град, замок Locinox LAKZ P1,ригель, планка притворная
</t>
    </r>
    <r>
      <rPr>
        <b/>
        <sz val="24"/>
        <rFont val="Arial Cyr"/>
        <charset val="204"/>
      </rPr>
      <t xml:space="preserve">Комплект калитки включает в себя: </t>
    </r>
    <r>
      <rPr>
        <sz val="24"/>
        <rFont val="Arial Cyr"/>
        <charset val="204"/>
      </rPr>
      <t>1 створка, 2 опорных столба, петли Locinox GAM12,угол открывания 130 град,замок Locinox LAKZ P1, планка притворная</t>
    </r>
  </si>
  <si>
    <r>
      <rPr>
        <b/>
        <sz val="24"/>
        <rFont val="Arial Cyr"/>
        <charset val="204"/>
      </rPr>
      <t xml:space="preserve">Комплект ворот включает в себя: </t>
    </r>
    <r>
      <rPr>
        <sz val="24"/>
        <rFont val="Arial Cyr"/>
        <charset val="204"/>
      </rPr>
      <t xml:space="preserve">2 створки, 2 опорных столба, петли Locinox GAM12, угол открывания 130град, притворная планка для навесного замка, 1 ригель
</t>
    </r>
    <r>
      <rPr>
        <b/>
        <sz val="24"/>
        <rFont val="Arial Cyr"/>
        <charset val="204"/>
      </rPr>
      <t xml:space="preserve">Комплект калитки включает в себя: </t>
    </r>
    <r>
      <rPr>
        <sz val="24"/>
        <rFont val="Arial Cyr"/>
        <charset val="204"/>
      </rPr>
      <t>створка, 2 опорных столба, петли Locinox GAM12, притворная планка, угол открывания 130град</t>
    </r>
  </si>
  <si>
    <t xml:space="preserve">В наличии есть штрипс шириной 0,120 м для штакетника в покрытии PE double 0,5 RAL 3005,6005,8017 </t>
  </si>
  <si>
    <t>Софит</t>
  </si>
  <si>
    <t>Металлочерепица/Фальцевая кровля</t>
  </si>
  <si>
    <t xml:space="preserve">Размер трубы (max ширина - 1500мм, max длина - 2500мм), мм * </t>
  </si>
  <si>
    <t>Расчетная цена</t>
  </si>
  <si>
    <t>Цена 
руб./шт</t>
  </si>
  <si>
    <t>Дымники (колпаки на трубы, флюгарка) **</t>
  </si>
  <si>
    <t>Длина, мм</t>
  </si>
  <si>
    <t>Цинк 0,45</t>
  </si>
  <si>
    <t>Ре 0,45</t>
  </si>
  <si>
    <t>Satin</t>
  </si>
  <si>
    <t>Velur</t>
  </si>
  <si>
    <t>Colority®Print</t>
  </si>
  <si>
    <t>* - размеры указываются кратно 10 мм (1 см), возможность изготовления издений свыше 2,5х1,5м уточняйте у менеджера</t>
  </si>
  <si>
    <t>** - возможно изготовление двойных дымников, дымников с жалюзи, сеткой и по чертежам заказчика. Срок изготовления и стоимость изделий уточняйте у менеджера по продажам.</t>
  </si>
  <si>
    <t>Zn 0,45</t>
  </si>
  <si>
    <t>Velur 20</t>
  </si>
  <si>
    <t>рассчет.цена</t>
  </si>
  <si>
    <t>Fakro Мансардные окна, аксессуары для окон</t>
  </si>
  <si>
    <t>Комплект XDK гидро- пароизоляционный</t>
  </si>
  <si>
    <t>Наружная маркиза AMZ для всех окон FT и FPP группа I (10% ветопропускание)</t>
  </si>
  <si>
    <t>60х120х325</t>
  </si>
  <si>
    <t>70х120х325,335</t>
  </si>
  <si>
    <t>70х130х325</t>
  </si>
  <si>
    <t xml:space="preserve">Лестница SMART LWS - складная, деревянная, термоизоляционая крышка облицованная ДВП древесного цвета </t>
  </si>
  <si>
    <r>
      <t xml:space="preserve">Лестница SMART LWS Plus - складная, деревянная, термоизоляционая крышка облицованная ДВП древесного цвета </t>
    </r>
    <r>
      <rPr>
        <b/>
        <sz val="20"/>
        <color indexed="10"/>
        <rFont val="Arial"/>
        <family val="2"/>
        <charset val="204"/>
      </rPr>
      <t>NEW</t>
    </r>
  </si>
  <si>
    <t xml:space="preserve">Лестница KOMFORT LWK - складная, деревянная, термоизоляционая крышка облицованная ДВП белого цвета, толщиной 36мм. Лестница укомплектована поручнем </t>
  </si>
  <si>
    <r>
      <t xml:space="preserve">Лестница KOMFORT LWK Plus - складная, деревянная, термоизоляционая крышка облицованная ДВП белого цвета, толщиной 36мм. Лестница укомплектована поручнем </t>
    </r>
    <r>
      <rPr>
        <b/>
        <sz val="20"/>
        <color indexed="10"/>
        <rFont val="Arial"/>
        <family val="2"/>
        <charset val="204"/>
      </rPr>
      <t>NEW</t>
    </r>
  </si>
  <si>
    <t>темный дуб</t>
  </si>
  <si>
    <r>
      <t xml:space="preserve">Сайдинг-панель D4,4 GL Amerika </t>
    </r>
    <r>
      <rPr>
        <sz val="45"/>
        <color rgb="FFFF0000"/>
        <rFont val="Arial"/>
        <family val="2"/>
        <charset val="204"/>
      </rPr>
      <t>NEW
Акриловый</t>
    </r>
  </si>
  <si>
    <r>
      <t xml:space="preserve">Сайдинг-панель 
Блок-хаус D4,8 GL Amerika </t>
    </r>
    <r>
      <rPr>
        <sz val="45"/>
        <color rgb="FFFF0000"/>
        <rFont val="Arial"/>
        <family val="2"/>
        <charset val="204"/>
      </rPr>
      <t>NEW Акриловый</t>
    </r>
  </si>
  <si>
    <t>Premium софит Т3 со скрытой перфорацией GL Estetic 3,0</t>
  </si>
  <si>
    <r>
      <t xml:space="preserve">Сайдинг-панель D4 GL Amerika </t>
    </r>
    <r>
      <rPr>
        <sz val="45"/>
        <color rgb="FFFF0000"/>
        <rFont val="Arial"/>
        <family val="2"/>
        <charset val="204"/>
      </rPr>
      <t>NEW Акриловый</t>
    </r>
  </si>
  <si>
    <r>
      <t xml:space="preserve">темный дуб
</t>
    </r>
    <r>
      <rPr>
        <sz val="45"/>
        <color rgb="FFFF0000"/>
        <rFont val="Arial"/>
        <family val="2"/>
        <charset val="204"/>
      </rPr>
      <t>NEW Акриловый</t>
    </r>
  </si>
  <si>
    <t>Штакетник Круглый/Прямоугольный  (п.м.)****</t>
  </si>
  <si>
    <t>Штакетник Круглый/Прямоугольный фигурный (п.м.)****</t>
  </si>
  <si>
    <t>Цементно-песчаная черепица BalticTile - Sea Wave</t>
  </si>
  <si>
    <t>Комментарий</t>
  </si>
  <si>
    <t xml:space="preserve">Един. 
изм. </t>
  </si>
  <si>
    <t>Эконом-класс</t>
  </si>
  <si>
    <t>Стандартные цвета</t>
  </si>
  <si>
    <t>Специальные цвета</t>
  </si>
  <si>
    <t>серый</t>
  </si>
  <si>
    <t>красный не окр.</t>
  </si>
  <si>
    <t>серый, красный, черный, темно-коричневый, кирпично-красный, бордовый</t>
  </si>
  <si>
    <t>серый антик, антик, зеленый, синий, осенний лист</t>
  </si>
  <si>
    <t>Элементы для обустройства ендовы</t>
  </si>
  <si>
    <t>Цементно-песчаная черепица рядовая, 420х334мм</t>
  </si>
  <si>
    <t>9,5 шт./кв.м</t>
  </si>
  <si>
    <t>Планка разжелобка, ВТ-1 (Швеция/Россия), оцинк. сталь с покрытием полиэстер</t>
  </si>
  <si>
    <t>2000 мм</t>
  </si>
  <si>
    <t>Комплектующие ЦПЧ</t>
  </si>
  <si>
    <t>Ендова тип поперечный, аллюминий</t>
  </si>
  <si>
    <t>Коньковая черепица</t>
  </si>
  <si>
    <t>Ребристый желобок Бигекеле (ФЭЗ/Россия)</t>
  </si>
  <si>
    <t>1500 мм</t>
  </si>
  <si>
    <t>Конечная/начальная коньковая черепица</t>
  </si>
  <si>
    <t>Поролоновая полоса ендовы (Польша)</t>
  </si>
  <si>
    <t>Вальмовая черепица (начальная хребтовая черепица)</t>
  </si>
  <si>
    <t xml:space="preserve"> - аналог "Уплотнитель универсальный с клеевым слоем 30х50 (2м)" из основного прайса Grand Line</t>
  </si>
  <si>
    <t>Y-образная черепица (вальмовая)</t>
  </si>
  <si>
    <t>Скоба крепления ендовы (ФЭЗ/Россия)</t>
  </si>
  <si>
    <t>T-образная черепица (вальмовая)</t>
  </si>
  <si>
    <t>Элементы безопасности</t>
  </si>
  <si>
    <t>X-образная черепица (вальмовая)</t>
  </si>
  <si>
    <t>Ступенька безопасности (ФЭЗ/Россия) 40 см</t>
  </si>
  <si>
    <t>отдельно приобретаются 2/3/4/6 опор</t>
  </si>
  <si>
    <t>Торцевая (боковая) черепица</t>
  </si>
  <si>
    <t>Ступенька безопасности (ФЭЗ/Россия) 80 см</t>
  </si>
  <si>
    <t>Вентиляционная черепица</t>
  </si>
  <si>
    <t>Ступенька безопасности (ФЭЗ/Россия) 120 см</t>
  </si>
  <si>
    <t>Элементы для вентиляции конька и хребта</t>
  </si>
  <si>
    <t>Ступенька безопасности (ФЭЗ/Россия) 200 см</t>
  </si>
  <si>
    <t>Аэроэлемент конька Руфрол (Польша)</t>
  </si>
  <si>
    <t>5000х300 мм</t>
  </si>
  <si>
    <t>Опора ступеньки безопансти (ФЭЗ/Россия)</t>
  </si>
  <si>
    <t>Аэроэлемент конька Фигароль (Германия)</t>
  </si>
  <si>
    <t>5000х280 мм</t>
  </si>
  <si>
    <t>Снегозадержатель трубчатый BORGE 1м (труба 2шт, кронштейн 2шт, крепеж)</t>
  </si>
  <si>
    <t>RAL 8004, 817, RR32</t>
  </si>
  <si>
    <t>Аэроэлемент конька со щеткой (Польша)</t>
  </si>
  <si>
    <t>200х1000, щетка 60/75 мм</t>
  </si>
  <si>
    <t>цвета под заказ</t>
  </si>
  <si>
    <t>Коньковый торцевой элемент (Финляндия)</t>
  </si>
  <si>
    <t>Снегозадержатель трубчатый BORGE 3м (труба 2шт, кронштейн 4шт, крепеж)</t>
  </si>
  <si>
    <t>Свинцовая пластина (Россия) для герметизации стыков</t>
  </si>
  <si>
    <t>500х500 мм</t>
  </si>
  <si>
    <t>Элементы крепежа</t>
  </si>
  <si>
    <t>Снегозадерживающая решетка (ФЭЗ/Россия)</t>
  </si>
  <si>
    <t>2500 мм</t>
  </si>
  <si>
    <t>Крепление коньковой/ хребтовой обрешетки оцинкованное (Польша)</t>
  </si>
  <si>
    <t>Стальной снегозадерживающий элемент универсальный (ФЭЗ/Россия)</t>
  </si>
  <si>
    <t xml:space="preserve"> - аналог "Крепление коньковой обрешетки" из основного прайса Grand Line</t>
  </si>
  <si>
    <t>Соединительный элемент снегозадерживающей решетки (ФЭЗ/Россия)</t>
  </si>
  <si>
    <t>Зажим крепления коньковой черепицы</t>
  </si>
  <si>
    <t>Труба снегозадерживающая оцинкованная</t>
  </si>
  <si>
    <t>3000 мм, 2шт на 1 компл.</t>
  </si>
  <si>
    <t>Шурупы для крепления рядной черепицы</t>
  </si>
  <si>
    <t>5,0х70 мм</t>
  </si>
  <si>
    <t>Опора трубчатого снегозадержания оцинкованная</t>
  </si>
  <si>
    <t>Зажим для крепления подрезанной черепицы (Германия)</t>
  </si>
  <si>
    <t>Снегостопор</t>
  </si>
  <si>
    <t>Клямер рядной черепицы (забивной)</t>
  </si>
  <si>
    <t xml:space="preserve">Элементы для обустройства вентиляции помещений </t>
  </si>
  <si>
    <t>Элементы для обустройства карнизного свеса</t>
  </si>
  <si>
    <r>
      <t xml:space="preserve">Антенный проход (Финляндия), </t>
    </r>
    <r>
      <rPr>
        <sz val="8"/>
        <rFont val="Arial"/>
        <family val="2"/>
        <charset val="204"/>
      </rPr>
      <t>проходная черепица, антенная насадка</t>
    </r>
  </si>
  <si>
    <t>Защита от птиц (Польша)</t>
  </si>
  <si>
    <t>1000 мм</t>
  </si>
  <si>
    <t>комп</t>
  </si>
  <si>
    <r>
      <t xml:space="preserve">Вентиляционный проходØ110 ИЗ 500 (Финляндия), </t>
    </r>
    <r>
      <rPr>
        <sz val="8"/>
        <rFont val="Arial"/>
        <family val="2"/>
        <charset val="204"/>
      </rPr>
      <t>проходная черепица, труба, насадка, гофрир. соединение</t>
    </r>
  </si>
  <si>
    <t>Аэроэлемент свеса (Польша)</t>
  </si>
  <si>
    <r>
      <t xml:space="preserve">Вентиляционный проходØ125 ИЗ 500 (Финляндия), </t>
    </r>
    <r>
      <rPr>
        <sz val="8"/>
        <rFont val="Arial"/>
        <family val="2"/>
        <charset val="204"/>
      </rPr>
      <t>проходная черепица, труба, насадка</t>
    </r>
  </si>
  <si>
    <t>Аэроэлемент свеса для плоской черепицы (Польша)</t>
  </si>
  <si>
    <t>Элементы гидроизоляции</t>
  </si>
  <si>
    <t>Вентиляционная лента (Польша)</t>
  </si>
  <si>
    <t>5000х100 мм</t>
  </si>
  <si>
    <t>Диффузионная мембрана Ecovent 110, 1,5×50m, KLØBER (Германия)</t>
  </si>
  <si>
    <t>1 рулон/75куб.м</t>
  </si>
  <si>
    <t xml:space="preserve"> - аналог "Лента вентиляционная ПВХ (коричневая/белая) 100х5000 BWK (5м)" из основного прайса Grand Line</t>
  </si>
  <si>
    <t>Диффузионная мембрана Permo Easy, 1,5×50m KLØBER (Германия)</t>
  </si>
  <si>
    <t>Капельник, ВТ-6 (Швеция/Россия)</t>
  </si>
  <si>
    <t>Диффузионная мембрана Permo Easy SK2, 1,5×50m, с 2-ой самоклеящейся полосой. KLØBER (Германия)</t>
  </si>
  <si>
    <t xml:space="preserve"> - аналог "Планка карнизная/капельник 100*65" из основного прайса Grand Line</t>
  </si>
  <si>
    <t>Диффузионная пленка Delta VENT N (Германия)</t>
  </si>
  <si>
    <t>1,5х50,0 м</t>
  </si>
  <si>
    <t>Элементы торцевого свеса</t>
  </si>
  <si>
    <t>Герметик DeltaThanдля герметизации примыкания к оштукатуренной стене</t>
  </si>
  <si>
    <t>Боковая облегченная черепица правая/левая (ФЭЗ/Россия), аллюминий</t>
  </si>
  <si>
    <t>h=0,5 мм</t>
  </si>
  <si>
    <t>300 мл.</t>
  </si>
  <si>
    <t>Скотч DeltaMulti-Band (расход 51,5м.пог./1рулон)</t>
  </si>
  <si>
    <t>Стреховой желоб (Швеция/Россия), оцинк. сталь с покрытием полиэстер</t>
  </si>
  <si>
    <t>Элементы для обустройства примыканий</t>
  </si>
  <si>
    <t>Easy-FormPlus (Германия)</t>
  </si>
  <si>
    <t>Easy-Form (Германия)</t>
  </si>
  <si>
    <t>Алюплюс (Польша)</t>
  </si>
  <si>
    <t>Вакафлекс (Германия)</t>
  </si>
  <si>
    <t xml:space="preserve"> - аналог "Лента для примыкания гофр. алюм. (0,3x5 м)" из основного прайса Grand Line</t>
  </si>
  <si>
    <t>Планка Вака (ФЭЗ/Россия), аллюминий</t>
  </si>
  <si>
    <t>2300 мм</t>
  </si>
  <si>
    <t>Планка прижимная, ВТ-8 (Швеция/Россия), оцинк. сталь с покрытием полиэстер</t>
  </si>
  <si>
    <t xml:space="preserve"> - аналог "Планка примыкания внакладку" из основного прайса Grand Line</t>
  </si>
  <si>
    <t>Герметик DAP Watertight Sealant (США)</t>
  </si>
  <si>
    <t>300 мл</t>
  </si>
  <si>
    <t xml:space="preserve"> - аналог "Герметик Tytan бесцветный (310 мл.)" из основного прайса Grand Line</t>
  </si>
  <si>
    <t>Шуруп с термостойким дюбелем (ФЭЗ/Россия)</t>
  </si>
  <si>
    <r>
      <t>Планка примыкания ВТ-4 (90</t>
    </r>
    <r>
      <rPr>
        <sz val="10"/>
        <color theme="1"/>
        <rFont val="Arial"/>
        <family val="2"/>
        <charset val="204"/>
      </rPr>
      <t>º) и ВТ-5 (120º) (Швеция/Россия), оцинк. сталь с покрытием полиэстер</t>
    </r>
  </si>
  <si>
    <t>7 ЦПЧ BalticTile</t>
  </si>
  <si>
    <t>8 Доборные элементы</t>
  </si>
  <si>
    <t>9 Доборные элементы фасад</t>
  </si>
  <si>
    <t xml:space="preserve">диаметр 125/90 - RAL 3005, RAL 3011, RAL 6005, RAL 7024, RAL 8004, RAL 8017, RAL 9003, RAL 9005, RR 11, RR 32, RR 29, AlZn; </t>
  </si>
  <si>
    <t>Комплект: Замок для панельных откатных ворот</t>
  </si>
  <si>
    <t>Ограждение кровли
Grand Line 0,9 м</t>
  </si>
  <si>
    <t>Ограждение кровли
Grand Line 0,9 м
со снегозадержателем</t>
  </si>
  <si>
    <t>Ограждение кровли
Grand Line 1,2 м</t>
  </si>
  <si>
    <t>Ограждение крвли
Grand Line 1,2 м
со снегозадержателем</t>
  </si>
  <si>
    <t>Кронштейн универсальный Grand Line Zn/RAL - 4 шт
Стойка Премиум Zn/RAL, длина 780 мм - 3шт
Раскос Zn/RAL - 2 шт
Труба для снегозадержателя Grand Line овальная Zn/RAL 42х21, длина 3 м - 2 шт 
Болт М8х20 - 4 шт</t>
  </si>
  <si>
    <t>Болт М8х30 - 2 шт
Гайка М8 - 6 шт
Шайба А.8 - 6 шт
EPDM резиновый уплотнитель - 16 шт
Саморез 8х60 - 8 шт
Саморез кровельный 5,5х19 - 8 шт</t>
  </si>
  <si>
    <t>Кронштейн универсальный Grand Line Zn/RAL - 4 шт
Стойка Премиум Zn/RAL, длина 780 мм - 3 шт
Раскос Zn/RAL - 2 шт
Труба для снегозадержателя Grand Line овальная Zn/RAL 42х21, длина 3 м - 4 шт 
Болт М8х20 - 4 шт</t>
  </si>
  <si>
    <t>Болт М8х30 - 4 шт
Гайка М8 - 8 шт
Шайба А.8 - 8 шт
EPDM резиновый уплотнитель - 16 шт
Саморез 8х60 - 8 шт
Саморез кровельный 5,5х19 - 8 шт</t>
  </si>
  <si>
    <t>Кронштейн универсальный Grand Line Zn/RAL - 4 шт
Стойка Премиум Zn/RAL, длина 1080 мм - 3шт
Раскос Zn/RAL - 2 шт
Труба для снегозадержателя Grand Line овальная Zn/RAL 42х21, длина 3 м - 3 шт 
Болт М8х20 - 4 шт</t>
  </si>
  <si>
    <t>Болт М8х30 - 3 шт
Гайка М8 - 7 шт
Шайба А.8 - 7 шт
EPDM резиновый уплотнитель - 16 шт
Саморез 8х60 - 8 шт
Саморез кровельный 5,5х19 - 11 шт</t>
  </si>
  <si>
    <t>Кронштейн универсальный Grand Line Zn/RAL - 4 шт
Стойка Премиум Zn/RAL, длина 1080 мм - 3шт
Раскос Zn/RAL - 2 шт
Труба для снегозадержателя Grand Line овальная Zn/RAL 42х21, длина 3 м - 5 шт 
Болт М8х20 - 4 шт</t>
  </si>
  <si>
    <t>Болт М8х30 - 5 шт
Гайка М8 - 9 шт
Шайба А.8 - 9 шт
EPDM резиновый уплотнитель - 16 шт
Саморез 8х60 - 8 шт
Саморез кровельный 5,5х19 - 11 шт</t>
  </si>
  <si>
    <t>Болт М8х25 - 18 шт
Болт М8х30 - 18 шт
Гайка М8 - 36 шт 
Шайба 8Г - 18 шт
Шайба А.8 - 36 шт</t>
  </si>
  <si>
    <t>Полотно мостика переходного Grand Line Zn/RAL 3,0 м - 1 шт
Кронштейн универсальный Grand Line Zn/RAL - 6 шт
Пластина мостика переходного Grand Line Zn/RAL - 3 шт
Платина кронштейна для фальцевой кровли Zn/RAL - 3 шт</t>
  </si>
  <si>
    <t xml:space="preserve"> Болт М8х30 - 12 шт                                                                                                                                                                                                                                                              Болт М8х25 - 12 шт
Гайка М8 - 24 шт
Шайба 8Г - 12 шт
Шайба А.8 -24 шт </t>
  </si>
  <si>
    <t>Полотно мостика переходного Grand Line Zn/RAL 1,0 м - 1 шт
Кронштейн универсальный Grand Line Zn/RAL- 4 шт
Пластина мостика переходного Grand Line Zn/RAL- 2 шт 
Пластина кронштейна для фальцевой кровли Zn/RAL - 2 шт</t>
  </si>
  <si>
    <t>**** - изготавливается в цветах RAL 8017 и RR32</t>
  </si>
  <si>
    <t>цены* действительны с 19.04.2016 г.</t>
  </si>
  <si>
    <t>Насадка на дрель для резки металлочерепицы и профнастила</t>
  </si>
  <si>
    <t>Используется для завершающей операции при формировании линии карнизного свеса</t>
  </si>
  <si>
    <t>Универсальный инструмент для подгиба карнизкого свеса</t>
  </si>
  <si>
    <t>Для формирования двойного фальца на изогнутых скатах</t>
  </si>
  <si>
    <t>Пластиковые киянки для формирования элементов фальцевой кровли</t>
  </si>
  <si>
    <t>Безотбойный молоток формирования элементов метал. кровли</t>
  </si>
  <si>
    <t>Strike</t>
  </si>
  <si>
    <t>Молотки для различных строительно-монтажных работ с магнитным держателем гвоздя и функцией гвоздодера</t>
  </si>
  <si>
    <t>Для работы при устройстве двойных стоячих фальцев, обходе труб и других проемов кровли</t>
  </si>
  <si>
    <t>Инструмент для формирования и закрытия замков двойного стоячего фальца</t>
  </si>
  <si>
    <t>Для формирования закругленных узлов фальцевой кровли</t>
  </si>
  <si>
    <t>Предназначена для формирования и закрытия фальцевых замков</t>
  </si>
  <si>
    <t>Доп. инструмент</t>
  </si>
  <si>
    <t>Для герметика в картридже и в полиэтиленовой упаковке, 600 мл</t>
  </si>
  <si>
    <t>Для резки рулонных и штучных изоляционных материалов</t>
  </si>
  <si>
    <t>Электрический резак, предназначенный для резки различных материалов без замены пильного диска</t>
  </si>
  <si>
    <t>Дополнительный сменный пильный диск с резаку</t>
  </si>
  <si>
    <t>Клещи "Гофра" прямые (5 лезвий)</t>
  </si>
  <si>
    <r>
      <t xml:space="preserve">Клещи "Гофра" прямые (3 лезвия) </t>
    </r>
    <r>
      <rPr>
        <b/>
        <sz val="10"/>
        <color rgb="FFFF0000"/>
        <rFont val="Arial"/>
        <family val="2"/>
        <charset val="204"/>
      </rPr>
      <t>NEW</t>
    </r>
  </si>
  <si>
    <t>Для ГК-профиля и ГКЛ</t>
  </si>
  <si>
    <t>Клещи для соед. ГК профилей Master Profil</t>
  </si>
  <si>
    <t>Клещи для соед. ГК-профилей унив. Ergotop</t>
  </si>
  <si>
    <t>Клещи для соед. ГК-профилей унив. ПР-07</t>
  </si>
  <si>
    <t>Клещи для соед. ГК-профилей унив. ПР-071</t>
  </si>
  <si>
    <r>
      <t xml:space="preserve">Набор захватов для переноски ГКЛ Duoplac </t>
    </r>
    <r>
      <rPr>
        <b/>
        <sz val="10"/>
        <color rgb="FFFF0000"/>
        <rFont val="Arial"/>
        <family val="2"/>
        <charset val="204"/>
      </rPr>
      <t>NEW</t>
    </r>
  </si>
  <si>
    <t xml:space="preserve">Для удобной переноски листов гипсокартона на стройплощадке </t>
  </si>
  <si>
    <r>
      <t xml:space="preserve">Рычаг стальной для переноски ГКЛ Transplac </t>
    </r>
    <r>
      <rPr>
        <b/>
        <sz val="10"/>
        <color rgb="FFFF0000"/>
        <rFont val="Arial"/>
        <family val="2"/>
        <charset val="204"/>
      </rPr>
      <t>NEW</t>
    </r>
  </si>
  <si>
    <r>
      <t xml:space="preserve">Ножовка д/гипс. 150мм с дв. лезв. и чехл. Crocoplac II </t>
    </r>
    <r>
      <rPr>
        <b/>
        <sz val="10"/>
        <color rgb="FFFF0000"/>
        <rFont val="Arial"/>
        <family val="2"/>
        <charset val="204"/>
      </rPr>
      <t>NEW</t>
    </r>
  </si>
  <si>
    <t>Для резки фигурных отверстий в ГКЛ и прочих материалах</t>
  </si>
  <si>
    <r>
      <t xml:space="preserve">Рубанок рашпильный для ГКЛ и дерева Vario Rap </t>
    </r>
    <r>
      <rPr>
        <b/>
        <sz val="10"/>
        <color rgb="FFFF0000"/>
        <rFont val="Arial"/>
        <family val="2"/>
        <charset val="204"/>
      </rPr>
      <t>NEW</t>
    </r>
  </si>
  <si>
    <t>Для зачистки торцов гипсокартонных листов</t>
  </si>
  <si>
    <r>
      <t xml:space="preserve">Распорка телескопическая для ГКЛ 160-290 см </t>
    </r>
    <r>
      <rPr>
        <b/>
        <sz val="10"/>
        <color rgb="FFFF0000"/>
        <rFont val="Arial"/>
        <family val="2"/>
        <charset val="204"/>
      </rPr>
      <t>NEW</t>
    </r>
  </si>
  <si>
    <t>Для безопасного поддержания ГКЛ до их фиксации или при пеервозке</t>
  </si>
  <si>
    <r>
      <t xml:space="preserve">Распорка телескопическая для ГКЛ 75-125 см </t>
    </r>
    <r>
      <rPr>
        <b/>
        <sz val="10"/>
        <color rgb="FFFF0000"/>
        <rFont val="Arial"/>
        <family val="2"/>
        <charset val="204"/>
      </rPr>
      <t>NEW</t>
    </r>
  </si>
  <si>
    <r>
      <t xml:space="preserve">Шпатель каучуковый </t>
    </r>
    <r>
      <rPr>
        <b/>
        <sz val="10"/>
        <color rgb="FFFF0000"/>
        <rFont val="Arial"/>
        <family val="2"/>
        <charset val="204"/>
      </rPr>
      <t>NEW</t>
    </r>
  </si>
  <si>
    <t>Для шпаклевания стен в углах и труднодоступных местах</t>
  </si>
  <si>
    <t>Лезвия съемные для шнека ADA Frozen 150</t>
  </si>
  <si>
    <t>Лезвия съемные для шнека ADA Frozen 200</t>
  </si>
  <si>
    <t>Канистра мерная для смешивания топлива и масла</t>
  </si>
  <si>
    <r>
      <t>Шпилька крепления шнека ADA</t>
    </r>
    <r>
      <rPr>
        <b/>
        <sz val="10"/>
        <color rgb="FFFF0000"/>
        <rFont val="Arial"/>
        <family val="2"/>
        <charset val="204"/>
      </rPr>
      <t xml:space="preserve"> NEW</t>
    </r>
  </si>
  <si>
    <t>Расходный элемент для крепления шнека к мотобуру</t>
  </si>
  <si>
    <t>Просекатель овальных отверстий в металле и виниловых панелях</t>
  </si>
  <si>
    <t>Для демонтажа панелей винилового сайдинга без повреждения</t>
  </si>
  <si>
    <t>Измерительный инструмент *</t>
  </si>
  <si>
    <t>Дальномеры (ларезные рулетки), курвиметры *</t>
  </si>
  <si>
    <t>Уровни и угломеры *</t>
  </si>
  <si>
    <t>Нивелиры лазерные *</t>
  </si>
  <si>
    <r>
      <t xml:space="preserve">Нивелир лазерный ADA 3D Liner 4V </t>
    </r>
    <r>
      <rPr>
        <b/>
        <sz val="10"/>
        <color rgb="FFFF0000"/>
        <rFont val="Arial"/>
        <family val="2"/>
        <charset val="204"/>
      </rPr>
      <t>NEW</t>
    </r>
  </si>
  <si>
    <t>Штанга на треноге, для установки лазерных нивелиров (построителей), позволяет работать с высотой до 3,6 м</t>
  </si>
  <si>
    <r>
      <t xml:space="preserve">Винт-переходник с резьбы 1/4" на 5/8" </t>
    </r>
    <r>
      <rPr>
        <b/>
        <sz val="10"/>
        <color rgb="FFFF0000"/>
        <rFont val="Arial"/>
        <family val="2"/>
        <charset val="204"/>
      </rPr>
      <t>NEW</t>
    </r>
  </si>
  <si>
    <t>Позволяет крепить лазерные уровни с резьбой 5/8 дюйма на штативы и крепления с резьбой 1/4 дюйма</t>
  </si>
  <si>
    <t>Нивелиры оптические *</t>
  </si>
  <si>
    <t xml:space="preserve">   *  Внимание! Под заказ Вы можете приобрести любой измерительный инструмент из ассортимента торговых марок ADA, Instrumax, в том числе отсутствующий в прайсе</t>
  </si>
  <si>
    <t>цены* действительны с 11.04.2016 г.</t>
  </si>
  <si>
    <t>цены действительны с  25.04.2016</t>
  </si>
  <si>
    <t>Водосток с полимерным покрытием представлен в следующих цветах: RAL 9003,RAL 8017,RAL 3005,RAL 6005.</t>
  </si>
  <si>
    <t>Пистолет для герметика No-drop</t>
  </si>
  <si>
    <t>Пистолет для герметика  No-drop</t>
  </si>
  <si>
    <t>цены действительны с 25.04.2016</t>
  </si>
  <si>
    <t>Premium</t>
  </si>
  <si>
    <t>карамельный,
темно-бежевый</t>
  </si>
  <si>
    <t xml:space="preserve">Полиэстер 0,5мм </t>
  </si>
  <si>
    <t xml:space="preserve">RAL 6029 </t>
  </si>
  <si>
    <t xml:space="preserve">RAL 1014 </t>
  </si>
  <si>
    <t>Труба с обжимкой d 25, RAL 2,0 м - 4 шт                                                           
Опора RAL - 2 шт
Стойка RAL - 2 шт     
Раскос RAL- 2 шт                                                                                                                                                                                                                         
Болт М8х20 - 6 шт</t>
  </si>
  <si>
    <t>Шайба А.8 - 6 шт
Гайка М8-7Н - 6 шт                                                                                                                                                                                                                                             
Саморез 8х60 DIN - 4 шт
Резиновый уплотнитель ЭПДМ - 8 шт 
Вес комплекта - 9,04 кг</t>
  </si>
  <si>
    <t>Ограждение 
кровельное 650,  2 м</t>
  </si>
  <si>
    <t>Ограждение 
кровельное 650, на фальц  2 м</t>
  </si>
  <si>
    <t>Ограждение 
кровельное со снегозадержателем 650, 2 м</t>
  </si>
  <si>
    <t>Ограждение 
кровельное со снегозадержателем 650, на фальц 
2 м</t>
  </si>
  <si>
    <t>Труба с обжимкой d 25, RAL 2,0 м - 2 шт
Опора  Zn/RAL - 2 шт
Стойка  Zn/RAL - 2 шт
Раскос  Zn/RAL - 2 шт
Болт М8х20 - 6 шт</t>
  </si>
  <si>
    <t xml:space="preserve">Гайка М8-7Н - 6 шт
Шайба А.8 - 6 шт
Саморез 8х60 DIN - 4 шт
Резиновый уплотнитель ЭПДМ - 8 шт </t>
  </si>
  <si>
    <t>Труба с обжимкой d 25, RAL 2,0 м - 2 шт
Опора  Zn/RAL - 2 шт
Крепление кронштейна для фальцевой кровли  RAL - 6 шт
Стойка  Zn/RAL - 2 шт</t>
  </si>
  <si>
    <t>Раскос  Zn/RAL - 2 шт
Болт М8х20 - 6 шт
Болт М8х30 - 6 шт
Гайка М8-7Н - 12 шт
Шайба А.8 - 12 шт</t>
  </si>
  <si>
    <t xml:space="preserve">Труба с обжимкой d 25, RAL 2,0 м - 4 шт                                                           
Опора  Zn/RAL - 2 шт
Стойка  Zn/RAL - 2 шт     
Раскос  Zn/RAL - 2 шт                                                                                                                                                                                                                         </t>
  </si>
  <si>
    <t xml:space="preserve">Болт М8х20 - 6 шт
Шайба А.8 - 6 шт
Гайка М8-7Н - 6 шт                                                                                                                                                                                                                                             
Саморез 8х60 DIN - 4 шт
Резиновый уплотнитель ЭПДМ - 8 шт </t>
  </si>
  <si>
    <t xml:space="preserve">Труба с обжимкой d 25, RAL 2,0 м - 4 шт                                                           
Опора  Zn/RAL - 2 шт
Крепление кронштейна для фальцевой кровли  RAL - 6 шт
Стойка  Zn/RAL - 2 шт     </t>
  </si>
  <si>
    <t>Раскос  Zn/RAL - 2 шт                                                                                                                                                                                                                         
Болт М8х20 - 6 шт
Болт М8х30 - 6 шт
Гайка М8-7Н - 12 шт
Шайба А.8 - 12 шт</t>
  </si>
  <si>
    <t xml:space="preserve">Панель мостика ZN- 1 шт
Опора ZN - 4 шт
Саморез 8*50 глухарь - 4 шт
Болт 8 х 16 - 12 шт                                                                                                                                                                                                                                     </t>
  </si>
  <si>
    <t xml:space="preserve">Прокладки резиновые ЕПДМ- 4 шт
Втулка пластиковая- 2 шт
Гайка М8 - 12 шт </t>
  </si>
  <si>
    <t>Панель мостика ZN- 1 шт
Опора ZN - 6 шт
Саморез 8*50 глухарь - 6 шт
Болт 8 х 16 - 18 шт</t>
  </si>
  <si>
    <t xml:space="preserve">Прокладки резиновые ЕПДМ- 6 шт
Втулка пластиковая- 4 шт
Гайка М8 - 18 шт </t>
  </si>
  <si>
    <t xml:space="preserve">Панель мостика ZN- 1 шт
Опора фальц  ZN - 2 шт
Опора  ZN - 2 шт
</t>
  </si>
  <si>
    <t>Болт М8*40 х 60- 4 шт
Болт 8 х 16 - 12 шт
Гайка М8 - 16 шт</t>
  </si>
  <si>
    <t>Панель мостика ZN- 1 шт
Опора фальц  ZN - 3 шт
Опора  ZN - 3 шт</t>
  </si>
  <si>
    <t>Болт М8*40 х 60- 6 шт
Болт 8 х 16 - 18 шт
Гайка М8 - 24 шт</t>
  </si>
  <si>
    <t>цены действительны с 25.04.16</t>
  </si>
  <si>
    <t>Труба для снегозадержателя универсального 
Optima RAL d-25 1 м  - 2 шт 
Кронштейн снегозадержателя универсальный Zn//RAL - 2 шт
Саморез 8х60 - 4 шт
Резиновый уплотнитель ЭПДМ - 8 шт
Заглушка D 25 - 4 шт</t>
  </si>
  <si>
    <t xml:space="preserve">Труба для снегозадержателя универсального 
Optima RAL d-25 1 м  - 2 шт 
Кронштейн снегозадержателя универсальный Zn//RAL - 2 шт
Заглушка D 25 - 4 шт
Скоба кронштейна для фальцевой кровли  RAL - 4 шт
Болт М8х20 - 4 шт
Шайба А.8 - 4 шт
Гайка М8-7Н -  шт  </t>
  </si>
  <si>
    <t>Установите длину и ширину (в мм) колпака (max длина - 2500мм, max ширина - 1500мм)* размеры указываются кратно 10 мм</t>
  </si>
  <si>
    <t>рассчетная цена</t>
  </si>
  <si>
    <r>
      <t xml:space="preserve">Нестандартные колпаки на столбы для ограждений (под заказ!) </t>
    </r>
    <r>
      <rPr>
        <b/>
        <sz val="20"/>
        <color rgb="FFFF0000"/>
        <rFont val="Arial"/>
        <family val="2"/>
        <charset val="204"/>
      </rPr>
      <t>NEW</t>
    </r>
    <r>
      <rPr>
        <b/>
        <sz val="20"/>
        <rFont val="Arial"/>
        <family val="2"/>
        <charset val="204"/>
      </rPr>
      <t>, руб/шт</t>
    </r>
  </si>
  <si>
    <t>Колпаки</t>
  </si>
  <si>
    <t>(Zn 180 г/кв.м.)</t>
  </si>
  <si>
    <t>(Zn 80-180 г/кв.м.)</t>
  </si>
  <si>
    <t>Цинк 0,35</t>
  </si>
  <si>
    <t>Ре 0,35***</t>
  </si>
  <si>
    <t>*** - изготавливается в цветах RAL 3005, 6005, 8017</t>
  </si>
  <si>
    <t>Внимание! Дымники Optima имеют конструктивные отличия от дымников Grand Line</t>
  </si>
  <si>
    <t>Grand Line</t>
  </si>
  <si>
    <t>Особенности</t>
  </si>
  <si>
    <r>
      <t xml:space="preserve">Сайдинг-панель D4,4 GL </t>
    </r>
    <r>
      <rPr>
        <sz val="45"/>
        <color rgb="FFFF0000"/>
        <rFont val="Arial"/>
        <family val="2"/>
        <charset val="204"/>
      </rPr>
      <t>Tundra NEW</t>
    </r>
  </si>
  <si>
    <t>канадский дуб</t>
  </si>
  <si>
    <r>
      <t xml:space="preserve">Сайдинг-панель D4 GL </t>
    </r>
    <r>
      <rPr>
        <sz val="45"/>
        <color rgb="FFFF0000"/>
        <rFont val="Arial"/>
        <family val="2"/>
        <charset val="204"/>
      </rPr>
      <t>Tundra</t>
    </r>
    <r>
      <rPr>
        <sz val="45"/>
        <rFont val="Arial"/>
        <family val="2"/>
        <charset val="204"/>
      </rPr>
      <t xml:space="preserve"> </t>
    </r>
    <r>
      <rPr>
        <sz val="45"/>
        <color rgb="FFFF0000"/>
        <rFont val="Arial"/>
        <family val="2"/>
        <charset val="204"/>
      </rPr>
      <t>NEW</t>
    </r>
  </si>
  <si>
    <r>
      <t xml:space="preserve">Сайдинг-панель 
Блок-хаус D4,8 GL </t>
    </r>
    <r>
      <rPr>
        <sz val="45"/>
        <color rgb="FFFF0000"/>
        <rFont val="Arial"/>
        <family val="2"/>
        <charset val="204"/>
      </rPr>
      <t>Tundra NEW</t>
    </r>
  </si>
  <si>
    <t>Вентпрогон опорный для фальца (RAL 7024 и 8017)*****</t>
  </si>
  <si>
    <t>***** - изготовление в других цветах под заказ при объеме от 100 штук</t>
  </si>
  <si>
    <r>
      <t>Металлочерепица Classic</t>
    </r>
    <r>
      <rPr>
        <sz val="21"/>
        <rFont val="Arial"/>
        <family val="2"/>
        <charset val="204"/>
      </rPr>
      <t xml:space="preserve"> изготавливается в толщинах: 0,45; Satin</t>
    </r>
  </si>
  <si>
    <r>
      <rPr>
        <b/>
        <sz val="21"/>
        <rFont val="Arial"/>
        <family val="2"/>
        <charset val="204"/>
      </rPr>
      <t>Металлический штакетник Круглый и Прямоугольный</t>
    </r>
    <r>
      <rPr>
        <sz val="21"/>
        <rFont val="Arial"/>
        <family val="2"/>
        <charset val="204"/>
      </rPr>
      <t xml:space="preserve"> в Pe 0,45 изготавливается в цветах: RAL 3005, 5005, 6005, 7024, 8017, RR32</t>
    </r>
  </si>
  <si>
    <t>RAL 8017
RR 32</t>
  </si>
  <si>
    <t>Comfort</t>
  </si>
  <si>
    <t>Брусок</t>
  </si>
  <si>
    <r>
      <t xml:space="preserve">Брусок деревянный сухой строганый 50*40*3000, упаковка 6 шт     </t>
    </r>
    <r>
      <rPr>
        <b/>
        <sz val="24"/>
        <color rgb="FFFF0000"/>
        <rFont val="Arial"/>
        <family val="2"/>
        <charset val="204"/>
      </rPr>
      <t>NEW</t>
    </r>
  </si>
  <si>
    <t>Новинок на странице</t>
  </si>
  <si>
    <r>
      <t xml:space="preserve">FTS U2 стандарт </t>
    </r>
    <r>
      <rPr>
        <b/>
        <sz val="20"/>
        <color rgb="FFFF0000"/>
        <rFont val="Arial"/>
        <family val="2"/>
        <charset val="204"/>
      </rPr>
      <t>NEW</t>
    </r>
  </si>
  <si>
    <r>
      <t xml:space="preserve">Брусок деревянный сухой строганый 50*40*3000 </t>
    </r>
    <r>
      <rPr>
        <sz val="21"/>
        <rFont val="Arial"/>
        <family val="2"/>
        <charset val="204"/>
      </rPr>
      <t xml:space="preserve">    </t>
    </r>
    <r>
      <rPr>
        <b/>
        <sz val="21"/>
        <color rgb="FFFF0000"/>
        <rFont val="Arial"/>
        <family val="2"/>
        <charset val="204"/>
      </rPr>
      <t>NEW</t>
    </r>
  </si>
  <si>
    <t>цены действительны с 04.05.2016</t>
  </si>
  <si>
    <t>цены действительны с 04.05.2016 г.</t>
  </si>
  <si>
    <t>капучино, шоколад</t>
  </si>
  <si>
    <t>эспрессо*, клубничный раф*</t>
  </si>
  <si>
    <r>
      <t>Композитная металлочерепица Classic</t>
    </r>
    <r>
      <rPr>
        <sz val="21"/>
        <rFont val="Arial"/>
        <family val="2"/>
        <charset val="204"/>
      </rPr>
      <t xml:space="preserve"> кленовый латте, мятный мокко/капучино,шоколад/клубнич.раф, эспрессо</t>
    </r>
  </si>
  <si>
    <r>
      <t>CLASSIC **</t>
    </r>
    <r>
      <rPr>
        <sz val="20"/>
        <color indexed="8"/>
        <rFont val="Arial"/>
        <family val="2"/>
        <charset val="204"/>
      </rPr>
      <t xml:space="preserve">- проходной элемент для фальцевой металлической кровли и мягкой кровли. Устанавливается на смонтированный кровельный материал (герметик и уплотнитель гидрозатвора в комплект не входит) </t>
    </r>
  </si>
  <si>
    <t>Optima</t>
  </si>
  <si>
    <t>Atlas 0,5 мм
RAL 9003</t>
  </si>
  <si>
    <r>
      <t xml:space="preserve">канадский дуб
</t>
    </r>
    <r>
      <rPr>
        <sz val="45"/>
        <color rgb="FFFF0000"/>
        <rFont val="Arial"/>
        <family val="2"/>
        <charset val="204"/>
      </rPr>
      <t>NEW Tundra</t>
    </r>
  </si>
  <si>
    <t>60х100х280</t>
  </si>
  <si>
    <t>70х100х280</t>
  </si>
  <si>
    <t>Colority®Print dp</t>
  </si>
  <si>
    <r>
      <t xml:space="preserve">Лестница Energy LTK - складная, деревянная, термоизоляционая крышка облицованная ДВП белого цвета, толщиной 66мм.,два мех-ма блокировки,усиленная фурнитура (петли, опорная балка),два контура уплотнения. Лестница укомплектована поручнем </t>
    </r>
    <r>
      <rPr>
        <b/>
        <sz val="20"/>
        <color rgb="FFFF0000"/>
        <rFont val="Arial"/>
        <family val="2"/>
        <charset val="204"/>
      </rPr>
      <t xml:space="preserve"> NEW</t>
    </r>
  </si>
  <si>
    <t>Цвета универсальных снегозадержателей по цене складских (производятся под заказ): RAL 3011, RAL 5002, RAL 5021, RAL 6002, RAL 9003, RAL 9005</t>
  </si>
  <si>
    <t>Цвета универсальных снегозадержателей на складе: RAL 3003, RAL 3005, RAL 5005, RAL 6005, RAL 6020, RAL 7004, RAL 7024, RAL 8004, RAL 8017, RAL 9006, RR29, RR 32.</t>
  </si>
  <si>
    <t>Цвета универсальных снегозадержателей Optima по цене складских (производятся под заказ): RAL 5002,5021,6002,9003,9005</t>
  </si>
  <si>
    <t>Декоративная система</t>
  </si>
  <si>
    <t>* - поддерживается только в белом цвете
           S, D и T - это количество переломов (Single, Double,Triple), цифры - ширина одного перелома в дюймах</t>
  </si>
  <si>
    <t>** - поддерживается в карамельном цвете</t>
  </si>
  <si>
    <t>цены* действительны с 12.05.2016 г.</t>
  </si>
  <si>
    <t>** под заказ поставляются цвета коллекции Decra Classic: антрацит, серый валун, античный серый, серебро, черный бриллиант, хвойный лес, кирпичный красный, зеленый песок, коричневый</t>
  </si>
  <si>
    <t>Начальный лист Roman****</t>
  </si>
  <si>
    <t>Лист Decra STRATOS,иные цвета под заказ***</t>
  </si>
  <si>
    <t>**** при выборе коллекции Roman обязательно использование начального листа Roman в качестве первых листов вдолбь карнизного свеса</t>
  </si>
  <si>
    <t>***под заказ поставляются цвета коллекции Decra STRATOS: античный серый, хвойный лес, черный бриллиант</t>
  </si>
  <si>
    <t>1,5; 1,8; 2</t>
  </si>
  <si>
    <r>
      <rPr>
        <b/>
        <sz val="11"/>
        <color indexed="8"/>
        <rFont val="Arial Cyr"/>
        <charset val="204"/>
      </rPr>
      <t xml:space="preserve">1. </t>
    </r>
    <r>
      <rPr>
        <sz val="11"/>
        <color indexed="8"/>
        <rFont val="Arial Cyr"/>
        <charset val="204"/>
      </rPr>
      <t xml:space="preserve">изготовеление по индивидуальным размерам
</t>
    </r>
    <r>
      <rPr>
        <b/>
        <sz val="11"/>
        <color indexed="8"/>
        <rFont val="Arial Cyr"/>
        <charset val="204"/>
      </rPr>
      <t xml:space="preserve">2. </t>
    </r>
    <r>
      <rPr>
        <sz val="11"/>
        <color indexed="8"/>
        <rFont val="Arial Cyr"/>
        <charset val="204"/>
      </rPr>
      <t xml:space="preserve">водоотводящий капельник
</t>
    </r>
    <r>
      <rPr>
        <b/>
        <sz val="11"/>
        <color indexed="8"/>
        <rFont val="Arial Cyr"/>
        <charset val="204"/>
      </rPr>
      <t>3.</t>
    </r>
    <r>
      <rPr>
        <sz val="11"/>
        <color indexed="8"/>
        <rFont val="Arial Cyr"/>
        <charset val="204"/>
      </rPr>
      <t xml:space="preserve"> все изделия в пленке
</t>
    </r>
    <r>
      <rPr>
        <b/>
        <sz val="11"/>
        <color indexed="8"/>
        <rFont val="Arial Cyr"/>
        <charset val="204"/>
      </rPr>
      <t xml:space="preserve">4. </t>
    </r>
    <r>
      <rPr>
        <sz val="11"/>
        <color indexed="8"/>
        <rFont val="Arial Cyr"/>
        <charset val="204"/>
      </rPr>
      <t xml:space="preserve">отражатель в цвет изделия
</t>
    </r>
    <r>
      <rPr>
        <b/>
        <sz val="11"/>
        <color indexed="8"/>
        <rFont val="Arial Cyr"/>
        <charset val="204"/>
      </rPr>
      <t xml:space="preserve">5. </t>
    </r>
    <r>
      <rPr>
        <sz val="11"/>
        <color indexed="8"/>
        <rFont val="Arial Cyr"/>
        <charset val="204"/>
      </rPr>
      <t xml:space="preserve">жесткая конструкция
</t>
    </r>
    <r>
      <rPr>
        <b/>
        <sz val="11"/>
        <color indexed="8"/>
        <rFont val="Arial Cyr"/>
        <charset val="204"/>
      </rPr>
      <t xml:space="preserve">6. </t>
    </r>
    <r>
      <rPr>
        <sz val="11"/>
        <color indexed="8"/>
        <rFont val="Arial Cyr"/>
        <charset val="204"/>
      </rPr>
      <t xml:space="preserve">отсутвие заклепок на поверхности зонта
</t>
    </r>
    <r>
      <rPr>
        <b/>
        <sz val="11"/>
        <color indexed="8"/>
        <rFont val="Arial Cyr"/>
        <charset val="204"/>
      </rPr>
      <t xml:space="preserve">7. </t>
    </r>
    <r>
      <rPr>
        <sz val="11"/>
        <color indexed="8"/>
        <rFont val="Arial Cyr"/>
        <charset val="204"/>
      </rPr>
      <t>фальцевое соединение</t>
    </r>
  </si>
  <si>
    <r>
      <rPr>
        <b/>
        <sz val="11"/>
        <color indexed="8"/>
        <rFont val="Arial Cyr"/>
        <charset val="204"/>
      </rPr>
      <t xml:space="preserve">1. </t>
    </r>
    <r>
      <rPr>
        <sz val="11"/>
        <color indexed="8"/>
        <rFont val="Arial Cyr"/>
        <charset val="204"/>
      </rPr>
      <t xml:space="preserve">экономичное решение
</t>
    </r>
    <r>
      <rPr>
        <b/>
        <sz val="11"/>
        <color indexed="8"/>
        <rFont val="Arial Cyr"/>
        <charset val="204"/>
      </rPr>
      <t xml:space="preserve">2. </t>
    </r>
    <r>
      <rPr>
        <sz val="11"/>
        <color indexed="8"/>
        <rFont val="Arial Cyr"/>
        <charset val="204"/>
      </rPr>
      <t xml:space="preserve">изготовление по индивидуальным размерам
</t>
    </r>
    <r>
      <rPr>
        <b/>
        <sz val="11"/>
        <color indexed="8"/>
        <rFont val="Arial Cyr"/>
        <charset val="204"/>
      </rPr>
      <t xml:space="preserve">3. </t>
    </r>
    <r>
      <rPr>
        <sz val="11"/>
        <color indexed="8"/>
        <rFont val="Arial Cyr"/>
        <charset val="204"/>
      </rPr>
      <t>не имеет отражателя - сквозное крепление к зонту</t>
    </r>
  </si>
  <si>
    <t>RR33, RR32, RR11, RR 23, RR29, RR750</t>
  </si>
  <si>
    <r>
      <t xml:space="preserve">CLASSIC VINO 2K </t>
    </r>
    <r>
      <rPr>
        <b/>
        <sz val="20"/>
        <color rgb="FFC40000"/>
        <rFont val="Arial"/>
        <family val="2"/>
        <charset val="204"/>
      </rPr>
      <t>NEW</t>
    </r>
    <r>
      <rPr>
        <b/>
        <sz val="20"/>
        <color indexed="8"/>
        <rFont val="Arial"/>
        <family val="2"/>
        <charset val="204"/>
      </rPr>
      <t xml:space="preserve"> </t>
    </r>
    <r>
      <rPr>
        <sz val="20"/>
        <color indexed="8"/>
        <rFont val="Arial"/>
        <family val="2"/>
        <charset val="204"/>
      </rPr>
      <t>- проходной элемент для фальцевой кровли с 2K-уплотнителем гидрозатвора</t>
    </r>
  </si>
  <si>
    <t>Брусок деревянный сухой строганый</t>
  </si>
  <si>
    <t>50*40*3000</t>
  </si>
  <si>
    <t>Пшеничный, 
Серый дым, 
Французский каштан, Венге, Шоколад *</t>
  </si>
  <si>
    <t>Профиль 140х22 мм
Стандартная длина 3000 мм    
Длина под заказ от 1000 до 6000 мм, кратно 100 мм</t>
  </si>
  <si>
    <t>Профиль 140х22 мм
Длина под заказ от 1000 до 6000 мм, кратно 100 мм</t>
  </si>
  <si>
    <t>35 х 60 х 3000 мм</t>
  </si>
  <si>
    <t>Рассчитывается по необходимости</t>
  </si>
  <si>
    <t>10 х 90 х 3000 мм</t>
  </si>
  <si>
    <t>Опора регулируемая 50 - 80 мм, в комплекте</t>
  </si>
  <si>
    <t>D (низ) : 205; D (верх) : 155; 
H (мин/макс) : 50-80 мм</t>
  </si>
  <si>
    <t>Опора регулируемая 95 - 155 мм, в комплекте</t>
  </si>
  <si>
    <t>D (низ) : 205; D (верх) : 155; 
H (мин/макс) : 95-155 мм</t>
  </si>
  <si>
    <t>Опора регулируемая 145 - 240 мм, в комплекте</t>
  </si>
  <si>
    <t>D (низ) : 205; D (верх) : 155; 
H (мин/макс) : 145-240 мм</t>
  </si>
  <si>
    <t>Опора регулируемая 240 - 300 мм, в комплекте</t>
  </si>
  <si>
    <t>D (низ) : 205; D (верх) : 155; 
H (мин/макс) : 240-300 мм</t>
  </si>
  <si>
    <t>Деталь TOP для регулируемых опор</t>
  </si>
  <si>
    <t>D - 155 мм</t>
  </si>
  <si>
    <t xml:space="preserve">Все цены указаны с НДС </t>
  </si>
  <si>
    <t>* - Цвета Пшеничный, Серый дым, Французский каштан, Венге, Шоколад - стандартные. Всегда в наличии на складе поставщика с типом поверхности "глянец".</t>
  </si>
  <si>
    <t>Размер: Длина/ Ширина/ Высота</t>
  </si>
  <si>
    <r>
      <rPr>
        <b/>
        <sz val="10"/>
        <rFont val="Arial Cyr"/>
        <charset val="204"/>
      </rPr>
      <t>АгроПартнер</t>
    </r>
    <r>
      <rPr>
        <sz val="10"/>
        <rFont val="Arial Cyr"/>
        <charset val="204"/>
      </rPr>
      <t xml:space="preserve"> 4м</t>
    </r>
    <r>
      <rPr>
        <b/>
        <sz val="10"/>
        <rFont val="Arial Cyr"/>
        <charset val="204"/>
      </rPr>
      <t xml:space="preserve"> </t>
    </r>
    <r>
      <rPr>
        <sz val="10"/>
        <rFont val="Arial Cyr"/>
        <charset val="204"/>
      </rPr>
      <t>оцинков.</t>
    </r>
    <r>
      <rPr>
        <b/>
        <sz val="10"/>
        <rFont val="Arial Cyr"/>
        <charset val="204"/>
      </rPr>
      <t xml:space="preserve"> </t>
    </r>
    <r>
      <rPr>
        <sz val="10"/>
        <rFont val="Arial Cyr"/>
        <charset val="204"/>
      </rPr>
      <t>25 х 25 (труба) толщина стенки 1.2 мм*</t>
    </r>
  </si>
  <si>
    <t>Удлинение 2м оцинков. 25 х 25 (труба) толщина стенки 1.2 мм*</t>
  </si>
  <si>
    <r>
      <t xml:space="preserve">Каркас теплицы </t>
    </r>
    <r>
      <rPr>
        <b/>
        <sz val="10"/>
        <rFont val="Arial Cyr"/>
        <charset val="204"/>
      </rPr>
      <t>АгроПартнер ЭКО</t>
    </r>
    <r>
      <rPr>
        <sz val="10"/>
        <rFont val="Arial Cyr"/>
        <charset val="204"/>
      </rPr>
      <t xml:space="preserve"> оцинк. труба 20х20мм</t>
    </r>
  </si>
  <si>
    <r>
      <rPr>
        <b/>
        <sz val="10"/>
        <rFont val="Arial Cyr"/>
        <charset val="204"/>
      </rPr>
      <t>Сотовый поликарбонат Актуаль</t>
    </r>
    <r>
      <rPr>
        <sz val="10"/>
        <rFont val="Arial Cyr"/>
        <charset val="204"/>
      </rPr>
      <t xml:space="preserve"> толщина 4 мм 6м*</t>
    </r>
  </si>
  <si>
    <t>Расчет поликарбоната:
На 4м теплицу - 3 листа 
На 6м теплицу - 4 листа 
На 8м теплицу - 5 листов</t>
  </si>
  <si>
    <t>* - в наличии на складе</t>
  </si>
  <si>
    <t>Торцевая планка 
(цвета Венге, Серый дым, Каштан, Пшеничный, Шоколад)</t>
  </si>
  <si>
    <t xml:space="preserve">Применение </t>
  </si>
  <si>
    <t>Плотность,
кг/м3</t>
  </si>
  <si>
    <t>шт./уп.</t>
  </si>
  <si>
    <t>Кв.м/уп.</t>
  </si>
  <si>
    <t>Куб.м/уп.</t>
  </si>
  <si>
    <t>Цена, руб/куб.м</t>
  </si>
  <si>
    <t>Цена, руб/уп.</t>
  </si>
  <si>
    <t xml:space="preserve">Длина </t>
  </si>
  <si>
    <t>Ширина</t>
  </si>
  <si>
    <t>ROCKWOOL ЛАЙТ БАТТС СКАНДИК</t>
  </si>
  <si>
    <t>5,76 м2</t>
  </si>
  <si>
    <t>2,88 м2</t>
  </si>
  <si>
    <t>ROCKWOOL ЭКОНОМ *</t>
  </si>
  <si>
    <t>7,2 м2</t>
  </si>
  <si>
    <t>3,6 м2</t>
  </si>
  <si>
    <t>ТЕХНОБЛОК СТАНДАРТ</t>
  </si>
  <si>
    <t>8,64 м2</t>
  </si>
  <si>
    <t>6,48 м2</t>
  </si>
  <si>
    <t>4,32 м2</t>
  </si>
  <si>
    <t>2,16 м2</t>
  </si>
  <si>
    <t>ТеплоКНАУФ КОТТЕДЖ TS037 Термо Плита Aquastatik**</t>
  </si>
  <si>
    <t xml:space="preserve">ТеплоКНАУФ КОТТЕДЖ TS037 Термо Плита </t>
  </si>
  <si>
    <t>ТеплоКНАУФ КОТТЕДЖ TS037 Термо Плита</t>
  </si>
  <si>
    <t>ТеплоКНАУФ КОТТЕДЖ TR037 Термо Ролл Aquastatik</t>
  </si>
  <si>
    <t>Только для кровли</t>
  </si>
  <si>
    <t>ТеплоКНАУФ СКАТНАЯ КРОВЛЯ TR037 Термо Ролл Aquastatik**</t>
  </si>
  <si>
    <t>2 х 50</t>
  </si>
  <si>
    <t>ТеплоКНАУФ СКАТНАЯ КРОВЛЯ TS037 Термо Плита Плюс Aquastatik**</t>
  </si>
  <si>
    <t>Только для фасадов</t>
  </si>
  <si>
    <t>Только для чердачных и межэтажных перекрытий</t>
  </si>
  <si>
    <t>ТеплоКНАУФ ДАЧА TR 044 Термо Ролл</t>
  </si>
  <si>
    <t>* - товар не подерживается на складе, под заказ</t>
  </si>
  <si>
    <t>** - позиции продаются до исчерпания складских запасов</t>
  </si>
  <si>
    <t>*** - утеплитель ТеплоКНАУФ СКАТНАЯ КРОВЛЯ поставляется только под заказ при объеме от фуры</t>
  </si>
  <si>
    <t>По всем вопросам обращайтесь к менеджеру по продажам</t>
  </si>
  <si>
    <t>Сопутствующие товары</t>
  </si>
  <si>
    <t>Наименование и внешний вид</t>
  </si>
  <si>
    <t>Характеристики</t>
  </si>
  <si>
    <t>Руб/шт.</t>
  </si>
  <si>
    <t xml:space="preserve">
Нож для резки изоляционных материалов (EDMA)</t>
  </si>
  <si>
    <t>300 мм</t>
  </si>
  <si>
    <t>Дюбель для утеплителя с 
пластиковым гвоздем (IZO)</t>
  </si>
  <si>
    <t>Применяется для монтажа теплоизоляционных материалов, толщина которых не превышает 100 мм. Такой вид фиксации изоляционных материалов используется при монтаже фасадных систем с воздушным зазором. Примерный расход 6 штук на кв.м. Упаковка 500 штук.</t>
  </si>
  <si>
    <t>10 х 90 мм</t>
  </si>
  <si>
    <t>10 х 120 мм</t>
  </si>
  <si>
    <t>10 х 160 мм</t>
  </si>
  <si>
    <t>Дюбель для утеплителя с 
металлическим гвоздем (IZM)</t>
  </si>
  <si>
    <t>Используется для крепления изоляционных материалов толщиной более 100 мм, т.к. металлический гвоздь, по сравнению с пластиковым, выдерживает увеличенные нагрузки. Увеличенная несущая способность позволяет наносить более плотный штукатурный слой и монтировать тяжелые облицовочные материалы поверх теплоизоляциии. Примерный расход 6 штук на кв.м. Упаковка 500 штук.</t>
  </si>
  <si>
    <t>Дюбель для утеплителя с 
металлическим гвоздем и 
термоголовкой (IZL-Т)</t>
  </si>
  <si>
    <t>Используется для монтажа теплоизоляционных материалов на фасады с последующей "мокрой отделкой". Наличие полиамидной термоголовки на оцинкованном гвозде препятствует образованию "мостиков холода", которые могут негативно сказаться на тепловой изоляции фасада здания. Примерный расход 6 штук на кв.м. Упаковка 500 штук.</t>
  </si>
  <si>
    <t>Стоимость дюбелей других размеров и срок поставки уточняйте в менеджера по продажам</t>
  </si>
  <si>
    <t>Форма материала</t>
  </si>
  <si>
    <t>Универсальные 
(для кровли, перекрытий, перегородок 
и для внешнего утепления стен)</t>
  </si>
  <si>
    <t>плита</t>
  </si>
  <si>
    <t>каменная вата на основе базальтовых пород</t>
  </si>
  <si>
    <t>Для утепления мансард, перегородок, полов по лагам, каркасных стен, стен с отделкой сайдингом, балконов</t>
  </si>
  <si>
    <t>минеральная вата</t>
  </si>
  <si>
    <t>Для утепления скатной кровли, стен, идеален для шумоизоляции комнат</t>
  </si>
  <si>
    <t>Стены (каркасные и с отделкой сайдингом), скатные кровли и мансарды, перегородки и перекрытия, балконы, бани и сауны</t>
  </si>
  <si>
    <t>минеральная вата на основе базальтовых пород</t>
  </si>
  <si>
    <t>Для тепло- и звукоизоляции скатных кровель и устройства мансардных этажей</t>
  </si>
  <si>
    <t xml:space="preserve">ТеплоКНАУФ ФАСАД TS034 Термо Плита Aquastatik </t>
  </si>
  <si>
    <t>В качестве среднего слоя утепления в фасадных конструкциях с облицовкой из мелкоштучных материалов (кирпичом)</t>
  </si>
  <si>
    <t>Для теплоизоляции чердачных и межэтажных перекрытий</t>
  </si>
  <si>
    <t>Утеплители</t>
  </si>
  <si>
    <r>
      <t>0,6 м</t>
    </r>
    <r>
      <rPr>
        <vertAlign val="superscript"/>
        <sz val="12"/>
        <rFont val="Arial Cyr"/>
        <charset val="204"/>
      </rPr>
      <t>3</t>
    </r>
  </si>
  <si>
    <r>
      <t>12 м</t>
    </r>
    <r>
      <rPr>
        <vertAlign val="superscript"/>
        <sz val="12"/>
        <rFont val="Arial Cyr"/>
        <charset val="204"/>
      </rPr>
      <t>2</t>
    </r>
  </si>
  <si>
    <r>
      <t>0,9 м</t>
    </r>
    <r>
      <rPr>
        <vertAlign val="superscript"/>
        <sz val="12"/>
        <rFont val="Arial Cyr"/>
        <charset val="204"/>
      </rPr>
      <t>3</t>
    </r>
  </si>
  <si>
    <r>
      <t>18 м</t>
    </r>
    <r>
      <rPr>
        <vertAlign val="superscript"/>
        <sz val="12"/>
        <rFont val="Arial Cyr"/>
        <charset val="204"/>
      </rPr>
      <t>2</t>
    </r>
  </si>
  <si>
    <r>
      <t>9 м</t>
    </r>
    <r>
      <rPr>
        <vertAlign val="superscript"/>
        <sz val="12"/>
        <rFont val="Arial Cyr"/>
        <charset val="204"/>
      </rPr>
      <t>2</t>
    </r>
  </si>
  <si>
    <r>
      <t>0,75 м</t>
    </r>
    <r>
      <rPr>
        <vertAlign val="superscript"/>
        <sz val="12"/>
        <rFont val="Arial Cyr"/>
        <charset val="204"/>
      </rPr>
      <t>3</t>
    </r>
  </si>
  <si>
    <r>
      <t>15 м</t>
    </r>
    <r>
      <rPr>
        <vertAlign val="superscript"/>
        <sz val="12"/>
        <rFont val="Arial Cyr"/>
        <charset val="204"/>
      </rPr>
      <t>2</t>
    </r>
  </si>
  <si>
    <r>
      <t>0,915 м</t>
    </r>
    <r>
      <rPr>
        <vertAlign val="superscript"/>
        <sz val="12"/>
        <rFont val="Arial Cyr"/>
        <charset val="204"/>
      </rPr>
      <t>3</t>
    </r>
  </si>
  <si>
    <r>
      <t>9,15 м</t>
    </r>
    <r>
      <rPr>
        <vertAlign val="superscript"/>
        <sz val="12"/>
        <rFont val="Arial Cyr"/>
        <charset val="204"/>
      </rPr>
      <t>2</t>
    </r>
  </si>
  <si>
    <r>
      <t>1,08 м</t>
    </r>
    <r>
      <rPr>
        <vertAlign val="superscript"/>
        <sz val="12"/>
        <rFont val="Arial Cyr"/>
        <charset val="204"/>
      </rPr>
      <t>3</t>
    </r>
  </si>
  <si>
    <r>
      <t>21,6 м</t>
    </r>
    <r>
      <rPr>
        <vertAlign val="superscript"/>
        <sz val="12"/>
        <rFont val="Arial Cyr"/>
        <charset val="204"/>
      </rPr>
      <t>2</t>
    </r>
  </si>
  <si>
    <t xml:space="preserve">Профессиональный ручной инструмент, который применяется для удобного, аккуратного и быстрого раскроя изоляционных материалов. Он предназначен для резки мягких теплоизолирующих материалов, таких как минеральная вата, пенопласт, теплоизоляции на основе волокна, пенополистирола и т.д. Нож изготовлен из высококачественной инструментальной стали и имеет двухстороннюю зубчатую заточку, а так же удобную двухкомпонентную антискользящую рукоятку. Длина лезвия - 300 мм. Материал лезвия - Сталь. Материал рукоятки - Обрезиненный пластик 
Материал назначения -  Минеральная вата, Пенопласт, Полиуретан, Стекловата. Вес - 0,04 кг.  Поставляется с защитным чехлом. </t>
  </si>
  <si>
    <t>10 Утеплитель</t>
  </si>
  <si>
    <t>11 Дымники и Флюгеры</t>
  </si>
  <si>
    <t>12 Упаковка</t>
  </si>
  <si>
    <t>13 Инструмент GL 1</t>
  </si>
  <si>
    <t>14 Инструмент GL 2</t>
  </si>
  <si>
    <t>15 Инструмент GL 3</t>
  </si>
  <si>
    <t>16  Комплектующие</t>
  </si>
  <si>
    <t>17 Гидроизоляционные и пароизоляционные материалы</t>
  </si>
  <si>
    <t>18 ЭБК GL</t>
  </si>
  <si>
    <t>19 ЭБК Optima</t>
  </si>
  <si>
    <t>20 Водосточные системы GL</t>
  </si>
  <si>
    <t>21 Водосточная система Optima</t>
  </si>
  <si>
    <t>22 Виниловый сайдинг GL AMERIKA</t>
  </si>
  <si>
    <t>23 Декоративные элементы Mid-America+Техоснастка</t>
  </si>
  <si>
    <t>24 Виниловый водосток Rohrfit</t>
  </si>
  <si>
    <t>26 Панельные ограждения GL</t>
  </si>
  <si>
    <t>27 Эл-ты панельных ограждений GL</t>
  </si>
  <si>
    <t>28 Модульные ограждения GL</t>
  </si>
  <si>
    <t>29 Времен.огр.+Рулонная сетка+Штакетник+Трубы для заборов</t>
  </si>
  <si>
    <t>30 Откатные ворота</t>
  </si>
  <si>
    <t>31 Распашные ворота и калитки</t>
  </si>
  <si>
    <t>32 Locinox фурнитура</t>
  </si>
  <si>
    <t>33 Fakro</t>
  </si>
  <si>
    <t>34 VELUX OPTIMA</t>
  </si>
  <si>
    <t>35 VELUX PREMIUM</t>
  </si>
  <si>
    <t>36 Вентиляция Krovent</t>
  </si>
  <si>
    <t>37 Вентиляция Vilpe</t>
  </si>
  <si>
    <t>38 Фиброцементный сайдинг</t>
  </si>
  <si>
    <t>39 Террасная доска и теплицы</t>
  </si>
  <si>
    <t>40 Рекламная продукция GL</t>
  </si>
  <si>
    <t>Крепежный кронштейн усиленный ККУ 120х95х80 (1,2мм)</t>
  </si>
  <si>
    <t>Крепежный кронштейн усиленный ККУ 90х95х80 (1,2мм)</t>
  </si>
  <si>
    <t>Крепежный кронштейн угловой КУ 50х50х50 (2мм)</t>
  </si>
  <si>
    <t>Крепежный кронштейн угловой КУ 50х50х120 (2мм)</t>
  </si>
  <si>
    <t>Крепежный кронштейн угловой КУ 50х50х150 (2мм)</t>
  </si>
  <si>
    <t>Крепежный кронштейн угловой КУ 50х50х200 (2мм)</t>
  </si>
  <si>
    <t>Крепежный кронштейн угловой КУ 50х50х250 (2мм)</t>
  </si>
  <si>
    <t>Уплотнитель паронитовый 100х100 (2мм)</t>
  </si>
  <si>
    <t>Крепежный кронштейн угловой КУ 50х50х100 (2мм)</t>
  </si>
  <si>
    <t xml:space="preserve"> Уплотнитель гидрозатвора</t>
  </si>
  <si>
    <r>
      <t xml:space="preserve">Underlay
</t>
    </r>
    <r>
      <rPr>
        <sz val="20"/>
        <color indexed="8"/>
        <rFont val="Arial"/>
        <family val="2"/>
        <charset val="204"/>
      </rPr>
      <t>Уплотнитель гидрозатвора предотвращает попадание влаги в теплоизоляцию</t>
    </r>
  </si>
  <si>
    <t>Панель отделочная VOX Solid Brick</t>
  </si>
  <si>
    <t>Панель отделочная VOX Solid Stone</t>
  </si>
  <si>
    <t>16смх60 см</t>
  </si>
  <si>
    <t>красный, терракотовый, коричневый, песочный</t>
  </si>
  <si>
    <t>глиняный, светлая глина, ваниль, серый, коричневый</t>
  </si>
  <si>
    <t>Планка универсальная</t>
  </si>
  <si>
    <t>Планка финишная</t>
  </si>
  <si>
    <t>Угол внешний</t>
  </si>
  <si>
    <t>Brick</t>
  </si>
  <si>
    <t>Stone</t>
  </si>
  <si>
    <t>белая, светлая, темная</t>
  </si>
  <si>
    <t>Размер,мм</t>
  </si>
  <si>
    <t>Цокольные панели Wandstein и VOX</t>
  </si>
  <si>
    <t xml:space="preserve">*** - цена действует за штуку 1-волной черепицы, с полным ассортиментом цветов ознакомьтесь на стр. 3 </t>
  </si>
  <si>
    <t>Цена, руб/кв.м.</t>
  </si>
  <si>
    <t>25 Цокольные панели Wandstein и Vox</t>
  </si>
  <si>
    <t>Лампа сигнальная 12В MLB (для Road400KIT) или 12В ML (для Road500KIT)</t>
  </si>
  <si>
    <t>Основной Комплект</t>
  </si>
  <si>
    <t>Дополнительный комплект</t>
  </si>
  <si>
    <t>Лампа сигнальная 12В ML</t>
  </si>
  <si>
    <t>Фотоэлемент BF</t>
  </si>
  <si>
    <t>Комплект для автоматизации распашных ворот  3,0 - 9,0м</t>
  </si>
  <si>
    <t>Привод электромеханический TOONA TO5016/Р - 2шт, 
Блок управления А60/А - 1шт, 
Приемник встраиваемый 4к SMXIS - 1шт, 
Пульт ДУ 2к Smilo SM2 - 2шт</t>
  </si>
  <si>
    <r>
      <rPr>
        <b/>
        <sz val="24"/>
        <rFont val="Arial"/>
        <family val="2"/>
        <charset val="204"/>
      </rPr>
      <t xml:space="preserve">Комплект ворот включает в себя: </t>
    </r>
    <r>
      <rPr>
        <sz val="24"/>
        <rFont val="Arial"/>
        <family val="2"/>
        <charset val="204"/>
      </rPr>
      <t xml:space="preserve">2 створки ворот, 2 опорных столба, регулируемые петли, угол открывания 180 град, замок Locinox, притворная планка, 2 ригеля Locinox для фиксации створок в землю 
</t>
    </r>
    <r>
      <rPr>
        <b/>
        <sz val="24"/>
        <rFont val="Arial"/>
        <family val="2"/>
        <charset val="204"/>
      </rPr>
      <t xml:space="preserve">Комплект калитки включает в себя: </t>
    </r>
    <r>
      <rPr>
        <sz val="24"/>
        <rFont val="Arial"/>
        <family val="2"/>
        <charset val="204"/>
      </rPr>
      <t>створка, 2 столба, регулируемые петли, угол открывания 180 град, притворная планка, замок Locinox</t>
    </r>
  </si>
  <si>
    <t>Крепление скоба (саморез 5,5*32)</t>
  </si>
  <si>
    <r>
      <rPr>
        <b/>
        <u/>
        <sz val="9"/>
        <color theme="1"/>
        <rFont val="Arial"/>
        <family val="2"/>
        <charset val="204"/>
      </rPr>
      <t>Пароизоляция с ограниченной паропроницаемостью</t>
    </r>
    <r>
      <rPr>
        <b/>
        <sz val="9"/>
        <color theme="1"/>
        <rFont val="Arial"/>
        <family val="2"/>
        <charset val="204"/>
      </rPr>
      <t xml:space="preserve"> - эти пленки, в отличие от стандартной пароизоляции, пропускают пар, но в ограниченных количествах. Это позволяет равномерно удалить избыточную влагу из помещений без риска образования конденсата в кровельной конструкции. Рекомендованы для применения в домах с непостоянным проживанием (дачи, коттеджи). Такая пароизоляция используется только в комбинации с супер-диффузионными мембранами.Обязательно проклеивание соединительной лентой на перехлестах и напусках на стены\конструкции!</t>
    </r>
  </si>
  <si>
    <r>
      <rPr>
        <b/>
        <u/>
        <sz val="9"/>
        <color theme="1"/>
        <rFont val="Arial"/>
        <family val="2"/>
        <charset val="204"/>
      </rPr>
      <t>Пароизоляция с отражающим (рефлексным) слоем</t>
    </r>
    <r>
      <rPr>
        <b/>
        <sz val="9"/>
        <color theme="1"/>
        <rFont val="Arial"/>
        <family val="2"/>
        <charset val="204"/>
      </rPr>
      <t xml:space="preserve"> - отражающий рефлексный слой способен отражать часть теплового излучения обратно во внутреннее помещение (до 10% тепла). Так же такие пленки обладают повышенной паронепроницаемостью, относительно стандартных, что делает их применение оптимальным в кровлях над помещениями с повышенным парообразованием (санузлы, бани, бассейны и т.п.).Обязательно проклеивание соединительной лентой на перехлестах и напусках на стены\конструкции!</t>
    </r>
  </si>
  <si>
    <t>1000 мм х 420 мм, S=0,42м²</t>
  </si>
  <si>
    <t>429 мм х 92 мм</t>
  </si>
  <si>
    <t>437 мм х 92 мм</t>
  </si>
  <si>
    <t>3000 мм (15 пог.м.)</t>
  </si>
  <si>
    <t>3000 мм</t>
  </si>
  <si>
    <t>Панели и аксесссуары VOX</t>
  </si>
  <si>
    <t>HD Print</t>
  </si>
  <si>
    <t>Dark Wood</t>
  </si>
  <si>
    <t>Light Wood</t>
  </si>
  <si>
    <t>Уплотнитель универсальный с клеевым слоем 20х40 (2м) шт.</t>
  </si>
  <si>
    <t xml:space="preserve">Исключение составляет штакетник в покрытии Print (цвет Antique Dud и Golden Dub) - в данном покрытии штакетник </t>
  </si>
  <si>
    <t>PurPur</t>
  </si>
  <si>
    <t>Standart +</t>
  </si>
  <si>
    <r>
      <rPr>
        <b/>
        <sz val="22"/>
        <rFont val="Arial"/>
        <family val="2"/>
        <charset val="204"/>
      </rPr>
      <t xml:space="preserve">PurPur </t>
    </r>
    <r>
      <rPr>
        <b/>
        <sz val="20"/>
        <color rgb="FFFF0000"/>
        <rFont val="Arial"/>
        <family val="2"/>
        <charset val="204"/>
      </rPr>
      <t>NEW</t>
    </r>
    <r>
      <rPr>
        <sz val="20"/>
        <rFont val="Arial"/>
        <family val="2"/>
        <charset val="204"/>
      </rPr>
      <t xml:space="preserve">
(Zn 275 г/кв.м.)</t>
    </r>
  </si>
  <si>
    <t xml:space="preserve">PurPur </t>
  </si>
  <si>
    <t>Двустороннняя соединительная Delta-Duo Tape 38</t>
  </si>
  <si>
    <t>Односторонняя соединительная лента Delta-Multi-Band M60</t>
  </si>
  <si>
    <t>Соединительная лента односторонняя Folder Bond Tape</t>
  </si>
  <si>
    <t>0,5/50</t>
  </si>
  <si>
    <t>0,5-4,5/0,5-4,5(400)</t>
  </si>
  <si>
    <t>***** - сайдиг Блок-хаус изготавливается только в толщине 0,5 мм</t>
  </si>
  <si>
    <r>
      <t xml:space="preserve">Брусок деревянный сухой строганый 50*40*3000    </t>
    </r>
    <r>
      <rPr>
        <b/>
        <sz val="21"/>
        <color rgb="FFFF0000"/>
        <rFont val="Arial"/>
        <family val="2"/>
        <charset val="204"/>
      </rPr>
      <t xml:space="preserve"> NEW</t>
    </r>
  </si>
  <si>
    <t>Брусок деревянный сухой строганый 50*40*3000</t>
  </si>
  <si>
    <r>
      <t xml:space="preserve">Бита Kraftool expert для саморезов ПШ 50 мм магнитная </t>
    </r>
    <r>
      <rPr>
        <b/>
        <sz val="10"/>
        <color rgb="FFFF0000"/>
        <rFont val="Arial"/>
        <family val="2"/>
        <charset val="204"/>
      </rPr>
      <t>NEW</t>
    </r>
  </si>
  <si>
    <t>Kraftool</t>
  </si>
  <si>
    <t>Магнитная насадка для саморезов ПШ с функцией ограничения глубины вкручивания</t>
  </si>
  <si>
    <t>Пистолет для герметика алюм. туба Tube Long</t>
  </si>
  <si>
    <t>Нож для изоляционных материалов 300 мм</t>
  </si>
  <si>
    <t xml:space="preserve">Молоток кровельщика с магн. держ. гвоздя </t>
  </si>
  <si>
    <t>Молоток гвоздодер с магн. держ. Гвоздя</t>
  </si>
  <si>
    <r>
      <t xml:space="preserve">Отвертка аккумуляторная IVT CED Li-18 GK </t>
    </r>
    <r>
      <rPr>
        <b/>
        <sz val="10"/>
        <color rgb="FFFF0000"/>
        <rFont val="Arial"/>
        <family val="2"/>
        <charset val="204"/>
      </rPr>
      <t>NEW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</si>
</sst>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8">
    <numFmt numFmtId="44" formatCode="_-* #,##0.00&quot;р.&quot;_-;\-* #,##0.00&quot;р.&quot;_-;_-* &quot;-&quot;??&quot;р.&quot;_-;_-@_-"/>
    <numFmt numFmtId="43" formatCode="_-* #,##0.00_р_._-;\-* #,##0.00_р_._-;_-* &quot;-&quot;??_р_._-;_-@_-"/>
    <numFmt numFmtId="164" formatCode="_(&quot;р.&quot;* #,##0.00_);_(&quot;р.&quot;* \(#,##0.00\);_(&quot;р.&quot;* &quot;-&quot;??_);_(@_)"/>
    <numFmt numFmtId="165" formatCode="_(* #,##0.00_);_(* \(#,##0.00\);_(* &quot;-&quot;??_);_(@_)"/>
    <numFmt numFmtId="166" formatCode="#,##0.000"/>
    <numFmt numFmtId="167" formatCode="_([$€]* #,##0.00_);_([$€]* \(#,##0.00\);_([$€]* &quot;-&quot;??_);_(@_)"/>
    <numFmt numFmtId="168" formatCode="_([$€]* #,##0.00_);_([$€]* \(#,##0.00\);_([$€]* \-??_);_(@_)"/>
    <numFmt numFmtId="169" formatCode="_(\$* #,##0.00_);_(\$* \(#,##0.00\);_(\$* \-??_);_(@_)"/>
    <numFmt numFmtId="170" formatCode="_-* #,##0.00_р_._-;\-* #,##0.00_р_._-;_-* \-??_р_._-;_-@_-"/>
    <numFmt numFmtId="171" formatCode="_-* #,##0_р_._-;\-* #,##0_р_._-;_-* &quot;-&quot;??_р_._-;_-@_-"/>
    <numFmt numFmtId="172" formatCode="0.0"/>
    <numFmt numFmtId="173" formatCode="#,##0.00_р_."/>
    <numFmt numFmtId="174" formatCode="#,##0_р_."/>
    <numFmt numFmtId="175" formatCode="0.000"/>
    <numFmt numFmtId="176" formatCode="dd/mm/yy;@"/>
    <numFmt numFmtId="177" formatCode="#,##0.00&quot;р.&quot;"/>
    <numFmt numFmtId="178" formatCode="0.0000"/>
    <numFmt numFmtId="179" formatCode="0.0%"/>
  </numFmts>
  <fonts count="283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sz val="16"/>
      <name val="Arial"/>
      <family val="2"/>
      <charset val="204"/>
    </font>
    <font>
      <b/>
      <sz val="24"/>
      <color indexed="10"/>
      <name val="Arial"/>
      <family val="2"/>
      <charset val="204"/>
    </font>
    <font>
      <b/>
      <sz val="16"/>
      <color indexed="10"/>
      <name val="Arial"/>
      <family val="2"/>
      <charset val="204"/>
    </font>
    <font>
      <sz val="10"/>
      <name val="Arial"/>
      <family val="2"/>
      <charset val="204"/>
    </font>
    <font>
      <b/>
      <sz val="16"/>
      <name val="Arial"/>
      <family val="2"/>
      <charset val="204"/>
    </font>
    <font>
      <sz val="20"/>
      <name val="Arial"/>
      <family val="2"/>
      <charset val="204"/>
    </font>
    <font>
      <b/>
      <sz val="18"/>
      <name val="Arial"/>
      <family val="2"/>
      <charset val="204"/>
    </font>
    <font>
      <sz val="18"/>
      <name val="Arial"/>
      <family val="2"/>
      <charset val="204"/>
    </font>
    <font>
      <b/>
      <sz val="18"/>
      <color indexed="10"/>
      <name val="Arial"/>
      <family val="2"/>
      <charset val="204"/>
    </font>
    <font>
      <b/>
      <sz val="20"/>
      <name val="Arial"/>
      <family val="2"/>
      <charset val="204"/>
    </font>
    <font>
      <sz val="16"/>
      <color indexed="10"/>
      <name val="Arial"/>
      <family val="2"/>
      <charset val="204"/>
    </font>
    <font>
      <sz val="10"/>
      <name val="Arial"/>
      <family val="2"/>
      <charset val="177"/>
    </font>
    <font>
      <sz val="10"/>
      <name val="Helv"/>
      <charset val="204"/>
    </font>
    <font>
      <sz val="10"/>
      <name val="Arial"/>
      <family val="2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10"/>
      <color indexed="12"/>
      <name val="Arial Cyr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10"/>
      <name val="Arial Cyr"/>
      <family val="2"/>
      <charset val="204"/>
    </font>
    <font>
      <sz val="8"/>
      <name val="Arial"/>
      <family val="2"/>
      <charset val="204"/>
    </font>
    <font>
      <sz val="11"/>
      <color indexed="8"/>
      <name val="Calibri"/>
      <family val="2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26"/>
      <color indexed="10"/>
      <name val="Arial"/>
      <family val="2"/>
      <charset val="204"/>
    </font>
    <font>
      <u/>
      <sz val="10"/>
      <color indexed="12"/>
      <name val="Arial Cyr"/>
      <charset val="204"/>
    </font>
    <font>
      <sz val="21"/>
      <name val="Arial"/>
      <family val="2"/>
      <charset val="204"/>
    </font>
    <font>
      <b/>
      <sz val="24"/>
      <name val="Arial"/>
      <family val="2"/>
      <charset val="204"/>
    </font>
    <font>
      <b/>
      <sz val="21"/>
      <name val="Arial"/>
      <family val="2"/>
      <charset val="204"/>
    </font>
    <font>
      <b/>
      <sz val="21"/>
      <color rgb="FFFF0000"/>
      <name val="Arial"/>
      <family val="2"/>
      <charset val="204"/>
    </font>
    <font>
      <sz val="22"/>
      <name val="Arial"/>
      <family val="2"/>
      <charset val="204"/>
    </font>
    <font>
      <b/>
      <sz val="21"/>
      <color indexed="10"/>
      <name val="Arial"/>
      <family val="2"/>
      <charset val="204"/>
    </font>
    <font>
      <b/>
      <sz val="11"/>
      <name val="Arial"/>
      <family val="2"/>
      <charset val="204"/>
    </font>
    <font>
      <sz val="11"/>
      <name val="Arial"/>
      <family val="2"/>
      <charset val="204"/>
    </font>
    <font>
      <b/>
      <sz val="11"/>
      <color indexed="8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name val="Times New Roman"/>
      <family val="1"/>
      <charset val="204"/>
    </font>
    <font>
      <b/>
      <sz val="11"/>
      <color indexed="10"/>
      <name val="Times New Roman"/>
      <family val="1"/>
      <charset val="204"/>
    </font>
    <font>
      <b/>
      <sz val="10"/>
      <name val="Arial Cyr"/>
      <charset val="204"/>
    </font>
    <font>
      <sz val="10"/>
      <color indexed="10"/>
      <name val="Arial Cyr"/>
      <charset val="204"/>
    </font>
    <font>
      <sz val="11"/>
      <color indexed="8"/>
      <name val="Times New Roman"/>
      <family val="1"/>
      <charset val="204"/>
    </font>
    <font>
      <sz val="11"/>
      <color rgb="FFFF0000"/>
      <name val="Times New Roman"/>
      <family val="1"/>
      <charset val="204"/>
    </font>
    <font>
      <sz val="11"/>
      <color indexed="10"/>
      <name val="Times New Roman"/>
      <family val="1"/>
      <charset val="204"/>
    </font>
    <font>
      <b/>
      <sz val="10"/>
      <name val="Arial"/>
      <family val="2"/>
      <charset val="204"/>
    </font>
    <font>
      <b/>
      <sz val="14"/>
      <name val="Arial"/>
      <family val="2"/>
      <charset val="204"/>
    </font>
    <font>
      <sz val="14"/>
      <name val="Arial"/>
      <family val="2"/>
      <charset val="204"/>
    </font>
    <font>
      <b/>
      <sz val="20"/>
      <color indexed="10"/>
      <name val="Arial"/>
      <family val="2"/>
      <charset val="204"/>
    </font>
    <font>
      <sz val="8"/>
      <name val="Arial Cyr"/>
      <charset val="204"/>
    </font>
    <font>
      <u/>
      <sz val="16"/>
      <name val="Arial"/>
      <family val="2"/>
      <charset val="204"/>
    </font>
    <font>
      <sz val="16"/>
      <name val="Arial Cyr"/>
      <charset val="204"/>
    </font>
    <font>
      <b/>
      <sz val="40"/>
      <name val="Arial Cyr"/>
      <charset val="204"/>
    </font>
    <font>
      <b/>
      <sz val="16"/>
      <name val="Arial Cyr"/>
      <charset val="204"/>
    </font>
    <font>
      <u/>
      <sz val="18"/>
      <name val="Arial"/>
      <family val="2"/>
      <charset val="204"/>
    </font>
    <font>
      <sz val="11"/>
      <name val="Arial Cyr"/>
      <charset val="204"/>
    </font>
    <font>
      <b/>
      <sz val="8"/>
      <name val="Arial"/>
      <family val="2"/>
      <charset val="204"/>
    </font>
    <font>
      <b/>
      <sz val="14"/>
      <color rgb="FFFF0000"/>
      <name val="Arial"/>
      <family val="2"/>
      <charset val="204"/>
    </font>
    <font>
      <sz val="10"/>
      <color indexed="8"/>
      <name val="Arial"/>
      <family val="2"/>
      <charset val="204"/>
    </font>
    <font>
      <b/>
      <sz val="10"/>
      <color indexed="8"/>
      <name val="Arial"/>
      <family val="2"/>
      <charset val="204"/>
    </font>
    <font>
      <b/>
      <sz val="9"/>
      <name val="Arial"/>
      <family val="2"/>
      <charset val="204"/>
    </font>
    <font>
      <b/>
      <sz val="12"/>
      <name val="Arial"/>
      <family val="2"/>
      <charset val="204"/>
    </font>
    <font>
      <sz val="9"/>
      <name val="Arial"/>
      <family val="2"/>
      <charset val="204"/>
    </font>
    <font>
      <b/>
      <sz val="22"/>
      <color indexed="10"/>
      <name val="Arial"/>
      <family val="2"/>
      <charset val="204"/>
    </font>
    <font>
      <b/>
      <sz val="22"/>
      <name val="Arial"/>
      <family val="2"/>
      <charset val="204"/>
    </font>
    <font>
      <sz val="22"/>
      <color indexed="8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0"/>
      <color rgb="FFFF0000"/>
      <name val="Arial"/>
      <family val="2"/>
      <charset val="204"/>
    </font>
    <font>
      <sz val="10"/>
      <color rgb="FFFF0000"/>
      <name val="Arial"/>
      <family val="2"/>
      <charset val="204"/>
    </font>
    <font>
      <b/>
      <sz val="9"/>
      <color theme="1"/>
      <name val="Arial"/>
      <family val="2"/>
      <charset val="204"/>
    </font>
    <font>
      <b/>
      <sz val="36"/>
      <color indexed="10"/>
      <name val="Arial"/>
      <family val="2"/>
      <charset val="204"/>
    </font>
    <font>
      <b/>
      <sz val="22"/>
      <color rgb="FFFF0000"/>
      <name val="Arial"/>
      <family val="2"/>
      <charset val="204"/>
    </font>
    <font>
      <b/>
      <sz val="24"/>
      <color rgb="FFFF0000"/>
      <name val="Arial"/>
      <family val="2"/>
      <charset val="204"/>
    </font>
    <font>
      <sz val="12"/>
      <name val="Arial Cyr"/>
      <charset val="204"/>
    </font>
    <font>
      <b/>
      <sz val="30"/>
      <color rgb="FFFF0000"/>
      <name val="Arial"/>
      <family val="2"/>
      <charset val="204"/>
    </font>
    <font>
      <sz val="22"/>
      <color theme="1"/>
      <name val="Arial"/>
      <family val="2"/>
      <charset val="204"/>
    </font>
    <font>
      <sz val="11"/>
      <color indexed="8"/>
      <name val="Arial"/>
      <family val="2"/>
      <charset val="204"/>
    </font>
    <font>
      <sz val="16"/>
      <color indexed="8"/>
      <name val="Arial"/>
      <family val="2"/>
      <charset val="204"/>
    </font>
    <font>
      <b/>
      <sz val="72"/>
      <color indexed="10"/>
      <name val="Arial"/>
      <family val="2"/>
      <charset val="204"/>
    </font>
    <font>
      <u/>
      <sz val="36"/>
      <name val="Arial Cyr"/>
      <charset val="204"/>
    </font>
    <font>
      <b/>
      <sz val="36"/>
      <color indexed="8"/>
      <name val="Arial"/>
      <family val="2"/>
      <charset val="204"/>
    </font>
    <font>
      <sz val="36"/>
      <color indexed="8"/>
      <name val="Arial"/>
      <family val="2"/>
      <charset val="204"/>
    </font>
    <font>
      <b/>
      <sz val="26"/>
      <color indexed="8"/>
      <name val="Arial"/>
      <family val="2"/>
      <charset val="204"/>
    </font>
    <font>
      <sz val="36"/>
      <name val="Arial"/>
      <family val="2"/>
      <charset val="204"/>
    </font>
    <font>
      <sz val="26"/>
      <color indexed="8"/>
      <name val="Arial"/>
      <family val="2"/>
      <charset val="204"/>
    </font>
    <font>
      <b/>
      <sz val="36"/>
      <name val="Arial"/>
      <family val="2"/>
      <charset val="204"/>
    </font>
    <font>
      <b/>
      <sz val="48"/>
      <name val="Arial"/>
      <family val="2"/>
      <charset val="204"/>
    </font>
    <font>
      <sz val="40"/>
      <name val="Arial"/>
      <family val="2"/>
      <charset val="204"/>
    </font>
    <font>
      <sz val="26"/>
      <name val="Arial Cyr"/>
      <charset val="204"/>
    </font>
    <font>
      <sz val="40"/>
      <color indexed="8"/>
      <name val="Arial"/>
      <family val="2"/>
      <charset val="204"/>
    </font>
    <font>
      <b/>
      <sz val="40"/>
      <color indexed="8"/>
      <name val="Arial"/>
      <family val="2"/>
      <charset val="204"/>
    </font>
    <font>
      <u/>
      <sz val="40"/>
      <color indexed="8"/>
      <name val="Arial"/>
      <family val="2"/>
      <charset val="204"/>
    </font>
    <font>
      <b/>
      <sz val="40"/>
      <name val="Arial"/>
      <family val="2"/>
      <charset val="204"/>
    </font>
    <font>
      <sz val="26"/>
      <name val="Arial"/>
      <family val="2"/>
      <charset val="204"/>
    </font>
    <font>
      <b/>
      <sz val="26"/>
      <name val="Arial"/>
      <family val="2"/>
      <charset val="204"/>
    </font>
    <font>
      <b/>
      <sz val="48"/>
      <name val="Arial Cyr"/>
      <charset val="204"/>
    </font>
    <font>
      <b/>
      <sz val="36"/>
      <name val="Arial Cyr"/>
      <charset val="204"/>
    </font>
    <font>
      <sz val="36"/>
      <name val="Arial Cyr"/>
      <charset val="204"/>
    </font>
    <font>
      <sz val="22"/>
      <name val="Arial Cyr"/>
      <charset val="204"/>
    </font>
    <font>
      <sz val="24"/>
      <color indexed="8"/>
      <name val="Arial"/>
      <family val="2"/>
      <charset val="204"/>
    </font>
    <font>
      <sz val="30"/>
      <name val="Arial"/>
      <family val="2"/>
      <charset val="204"/>
    </font>
    <font>
      <b/>
      <sz val="30"/>
      <name val="Arial"/>
      <family val="2"/>
      <charset val="204"/>
    </font>
    <font>
      <sz val="28"/>
      <name val="Arial"/>
      <family val="2"/>
      <charset val="204"/>
    </font>
    <font>
      <sz val="24"/>
      <name val="Arial"/>
      <family val="2"/>
      <charset val="204"/>
    </font>
    <font>
      <sz val="28"/>
      <name val="Arial Cyr"/>
      <charset val="204"/>
    </font>
    <font>
      <sz val="24"/>
      <name val="Arial Cyr"/>
      <charset val="204"/>
    </font>
    <font>
      <b/>
      <sz val="28"/>
      <name val="Arial"/>
      <family val="2"/>
      <charset val="204"/>
    </font>
    <font>
      <b/>
      <sz val="22"/>
      <name val="Arial Cyr"/>
      <charset val="204"/>
    </font>
    <font>
      <b/>
      <sz val="26"/>
      <name val="Arial Cyr"/>
      <charset val="204"/>
    </font>
    <font>
      <sz val="40"/>
      <name val="Arial Cyr"/>
      <charset val="204"/>
    </font>
    <font>
      <b/>
      <sz val="28"/>
      <color indexed="10"/>
      <name val="Arial"/>
      <family val="2"/>
      <charset val="204"/>
    </font>
    <font>
      <sz val="32"/>
      <name val="Arial"/>
      <family val="2"/>
      <charset val="204"/>
    </font>
    <font>
      <b/>
      <sz val="32"/>
      <name val="Arial"/>
      <family val="2"/>
      <charset val="204"/>
    </font>
    <font>
      <sz val="48"/>
      <name val="Arial"/>
      <family val="2"/>
      <charset val="204"/>
    </font>
    <font>
      <sz val="12"/>
      <name val="Arial"/>
      <family val="2"/>
      <charset val="204"/>
    </font>
    <font>
      <sz val="16"/>
      <color indexed="63"/>
      <name val="Arial"/>
      <family val="2"/>
      <charset val="204"/>
    </font>
    <font>
      <b/>
      <sz val="48"/>
      <color indexed="10"/>
      <name val="Arial"/>
      <family val="2"/>
      <charset val="204"/>
    </font>
    <font>
      <b/>
      <sz val="30"/>
      <color indexed="10"/>
      <name val="Arial"/>
      <family val="2"/>
      <charset val="204"/>
    </font>
    <font>
      <sz val="27"/>
      <name val="Arial"/>
      <family val="2"/>
      <charset val="204"/>
    </font>
    <font>
      <b/>
      <sz val="28"/>
      <name val="Arial Cyr"/>
      <charset val="204"/>
    </font>
    <font>
      <sz val="8"/>
      <name val="Tahoma"/>
      <family val="2"/>
      <charset val="204"/>
    </font>
    <font>
      <sz val="14"/>
      <name val="Arial Cyr"/>
      <charset val="204"/>
    </font>
    <font>
      <b/>
      <sz val="14"/>
      <name val="Arial Cyr"/>
      <charset val="204"/>
    </font>
    <font>
      <b/>
      <sz val="14"/>
      <color rgb="FFFF0000"/>
      <name val="Arial Cyr"/>
      <charset val="204"/>
    </font>
    <font>
      <b/>
      <sz val="22"/>
      <color indexed="8"/>
      <name val="Arial"/>
      <family val="2"/>
      <charset val="204"/>
    </font>
    <font>
      <sz val="18"/>
      <color theme="1"/>
      <name val="Arial"/>
      <family val="2"/>
      <charset val="204"/>
    </font>
    <font>
      <sz val="18"/>
      <name val="Arial Cyr"/>
      <charset val="204"/>
    </font>
    <font>
      <b/>
      <sz val="18"/>
      <color indexed="8"/>
      <name val="Arial"/>
      <family val="2"/>
      <charset val="204"/>
    </font>
    <font>
      <b/>
      <sz val="16"/>
      <color indexed="8"/>
      <name val="Arial"/>
      <family val="2"/>
      <charset val="204"/>
    </font>
    <font>
      <sz val="12"/>
      <color indexed="8"/>
      <name val="Arial"/>
      <family val="2"/>
      <charset val="204"/>
    </font>
    <font>
      <sz val="20"/>
      <name val="Arial Cyr"/>
      <charset val="204"/>
    </font>
    <font>
      <sz val="20"/>
      <color indexed="8"/>
      <name val="Arial"/>
      <family val="2"/>
      <charset val="204"/>
    </font>
    <font>
      <sz val="20"/>
      <name val="Calibri"/>
      <family val="2"/>
      <charset val="204"/>
    </font>
    <font>
      <b/>
      <sz val="20"/>
      <color indexed="8"/>
      <name val="Arial"/>
      <family val="2"/>
      <charset val="204"/>
    </font>
    <font>
      <sz val="16"/>
      <color indexed="8"/>
      <name val="Calibri"/>
      <family val="2"/>
      <charset val="204"/>
    </font>
    <font>
      <b/>
      <sz val="36"/>
      <color indexed="10"/>
      <name val="Arial Cyr"/>
      <charset val="204"/>
    </font>
    <font>
      <b/>
      <sz val="24"/>
      <name val="Arial Cyr"/>
      <charset val="204"/>
    </font>
    <font>
      <b/>
      <sz val="16"/>
      <color rgb="FFFF0000"/>
      <name val="Arial"/>
      <family val="2"/>
      <charset val="204"/>
    </font>
    <font>
      <b/>
      <sz val="20"/>
      <color rgb="FFFF0000"/>
      <name val="Arial"/>
      <family val="2"/>
      <charset val="204"/>
    </font>
    <font>
      <b/>
      <sz val="16"/>
      <color theme="0"/>
      <name val="Arial"/>
      <family val="2"/>
      <charset val="204"/>
    </font>
    <font>
      <sz val="16"/>
      <color theme="0"/>
      <name val="Arial"/>
      <family val="2"/>
      <charset val="204"/>
    </font>
    <font>
      <b/>
      <vertAlign val="superscript"/>
      <sz val="20"/>
      <color indexed="8"/>
      <name val="Arial"/>
      <family val="2"/>
      <charset val="204"/>
    </font>
    <font>
      <sz val="20"/>
      <color theme="1"/>
      <name val="Calibri"/>
      <family val="2"/>
      <charset val="204"/>
      <scheme val="minor"/>
    </font>
    <font>
      <sz val="24"/>
      <color theme="1"/>
      <name val="Arial"/>
      <family val="2"/>
      <charset val="204"/>
    </font>
    <font>
      <b/>
      <sz val="24"/>
      <color theme="1"/>
      <name val="Arial"/>
      <family val="2"/>
      <charset val="204"/>
    </font>
    <font>
      <b/>
      <u/>
      <sz val="16"/>
      <name val="Arial"/>
      <family val="2"/>
      <charset val="204"/>
    </font>
    <font>
      <sz val="16"/>
      <color theme="1"/>
      <name val="Arial"/>
      <family val="2"/>
      <charset val="204"/>
    </font>
    <font>
      <b/>
      <sz val="16"/>
      <color theme="1"/>
      <name val="Arial"/>
      <family val="2"/>
      <charset val="204"/>
    </font>
    <font>
      <u/>
      <sz val="28"/>
      <name val="Arial"/>
      <family val="2"/>
      <charset val="204"/>
    </font>
    <font>
      <b/>
      <sz val="72"/>
      <name val="Arial"/>
      <family val="2"/>
      <charset val="204"/>
    </font>
    <font>
      <b/>
      <sz val="38"/>
      <color indexed="10"/>
      <name val="Arial"/>
      <family val="2"/>
      <charset val="204"/>
    </font>
    <font>
      <b/>
      <sz val="20"/>
      <color theme="1"/>
      <name val="Arial"/>
      <family val="2"/>
      <charset val="204"/>
    </font>
    <font>
      <sz val="19"/>
      <name val="Arial"/>
      <family val="2"/>
      <charset val="204"/>
    </font>
    <font>
      <sz val="23"/>
      <name val="Arial"/>
      <family val="2"/>
      <charset val="204"/>
    </font>
    <font>
      <b/>
      <sz val="23"/>
      <name val="Arial"/>
      <family val="2"/>
      <charset val="204"/>
    </font>
    <font>
      <b/>
      <sz val="15"/>
      <name val="Arial"/>
      <family val="2"/>
      <charset val="204"/>
    </font>
    <font>
      <sz val="11"/>
      <color theme="1"/>
      <name val="Arial"/>
      <family val="2"/>
      <charset val="204"/>
    </font>
    <font>
      <b/>
      <sz val="11"/>
      <color rgb="FFFF0000"/>
      <name val="Arial"/>
      <family val="2"/>
      <charset val="204"/>
    </font>
    <font>
      <b/>
      <sz val="65"/>
      <color indexed="10"/>
      <name val="Arial"/>
      <family val="2"/>
      <charset val="204"/>
    </font>
    <font>
      <b/>
      <sz val="45"/>
      <name val="Arial"/>
      <family val="2"/>
      <charset val="204"/>
    </font>
    <font>
      <sz val="42"/>
      <name val="Arial"/>
      <family val="2"/>
      <charset val="204"/>
    </font>
    <font>
      <sz val="45"/>
      <name val="Arial"/>
      <family val="2"/>
      <charset val="204"/>
    </font>
    <font>
      <sz val="43"/>
      <name val="Arial"/>
      <family val="2"/>
      <charset val="204"/>
    </font>
    <font>
      <b/>
      <sz val="42"/>
      <name val="Arial"/>
      <family val="2"/>
      <charset val="204"/>
    </font>
    <font>
      <sz val="48"/>
      <name val="Arial Cyr"/>
      <charset val="204"/>
    </font>
    <font>
      <b/>
      <sz val="44"/>
      <name val="Arial"/>
      <family val="2"/>
      <charset val="204"/>
    </font>
    <font>
      <b/>
      <sz val="40"/>
      <color indexed="10"/>
      <name val="Arial"/>
      <family val="2"/>
      <charset val="204"/>
    </font>
    <font>
      <b/>
      <sz val="60"/>
      <name val="Arial"/>
      <family val="2"/>
      <charset val="204"/>
    </font>
    <font>
      <b/>
      <sz val="38"/>
      <name val="Arial"/>
      <family val="2"/>
      <charset val="204"/>
    </font>
    <font>
      <b/>
      <i/>
      <sz val="14"/>
      <color rgb="FFFF0000"/>
      <name val="Arial Cyr"/>
      <charset val="204"/>
    </font>
    <font>
      <u/>
      <sz val="11"/>
      <color theme="10"/>
      <name val="Calibri"/>
      <family val="2"/>
      <charset val="204"/>
      <scheme val="minor"/>
    </font>
    <font>
      <b/>
      <sz val="9"/>
      <color indexed="8"/>
      <name val="Arial"/>
      <family val="2"/>
      <charset val="204"/>
    </font>
    <font>
      <sz val="8"/>
      <color indexed="48"/>
      <name val="Arial"/>
      <family val="2"/>
      <charset val="204"/>
    </font>
    <font>
      <sz val="8"/>
      <color theme="1"/>
      <name val="Arial"/>
      <family val="2"/>
      <charset val="204"/>
    </font>
    <font>
      <b/>
      <sz val="8"/>
      <color indexed="48"/>
      <name val="Arial"/>
      <family val="2"/>
      <charset val="204"/>
    </font>
    <font>
      <sz val="28"/>
      <color indexed="9"/>
      <name val="Arial"/>
      <family val="2"/>
      <charset val="204"/>
    </font>
    <font>
      <b/>
      <sz val="12"/>
      <color rgb="FFFF0000"/>
      <name val="Arial"/>
      <family val="2"/>
      <charset val="204"/>
    </font>
    <font>
      <sz val="1"/>
      <color theme="0"/>
      <name val="Arial"/>
      <family val="2"/>
      <charset val="204"/>
    </font>
    <font>
      <b/>
      <sz val="1"/>
      <color theme="0"/>
      <name val="Arial"/>
      <family val="2"/>
      <charset val="204"/>
    </font>
    <font>
      <sz val="1"/>
      <color theme="0"/>
      <name val="Calibri"/>
      <family val="2"/>
      <charset val="204"/>
      <scheme val="minor"/>
    </font>
    <font>
      <b/>
      <sz val="1"/>
      <color theme="0"/>
      <name val="Arial Cyr"/>
      <charset val="204"/>
    </font>
    <font>
      <sz val="1"/>
      <color theme="0"/>
      <name val="Arial Cyr"/>
      <charset val="204"/>
    </font>
    <font>
      <sz val="39"/>
      <color indexed="8"/>
      <name val="Arial"/>
      <family val="2"/>
      <charset val="204"/>
    </font>
    <font>
      <b/>
      <sz val="41"/>
      <color indexed="8"/>
      <name val="Arial"/>
      <family val="2"/>
      <charset val="204"/>
    </font>
    <font>
      <b/>
      <sz val="41"/>
      <color indexed="10"/>
      <name val="Arial"/>
      <family val="2"/>
      <charset val="204"/>
    </font>
    <font>
      <sz val="39"/>
      <name val="Arial"/>
      <family val="2"/>
      <charset val="204"/>
    </font>
    <font>
      <sz val="14"/>
      <color theme="0"/>
      <name val="Arial"/>
      <family val="2"/>
      <charset val="204"/>
    </font>
    <font>
      <sz val="22"/>
      <color theme="0"/>
      <name val="Arial"/>
      <family val="2"/>
      <charset val="204"/>
    </font>
    <font>
      <sz val="14"/>
      <color theme="0"/>
      <name val="Calibri"/>
      <family val="2"/>
      <charset val="204"/>
      <scheme val="minor"/>
    </font>
    <font>
      <sz val="14"/>
      <color theme="0"/>
      <name val="Arial Cyr"/>
      <charset val="204"/>
    </font>
    <font>
      <sz val="1"/>
      <name val="Arial"/>
      <family val="2"/>
      <charset val="204"/>
    </font>
    <font>
      <sz val="1"/>
      <name val="Arial Cyr"/>
      <charset val="204"/>
    </font>
    <font>
      <sz val="22"/>
      <color theme="0"/>
      <name val="Arial Cyr"/>
      <charset val="204"/>
    </font>
    <font>
      <sz val="12"/>
      <color theme="0"/>
      <name val="Arial Cyr"/>
      <charset val="204"/>
    </font>
    <font>
      <sz val="23"/>
      <color rgb="FFFF0000"/>
      <name val="Arial"/>
      <family val="2"/>
      <charset val="204"/>
    </font>
    <font>
      <b/>
      <sz val="13"/>
      <color theme="1"/>
      <name val="Arial"/>
      <family val="2"/>
      <charset val="204"/>
    </font>
    <font>
      <b/>
      <u/>
      <sz val="9"/>
      <color theme="1"/>
      <name val="Arial"/>
      <family val="2"/>
      <charset val="204"/>
    </font>
    <font>
      <u/>
      <sz val="1"/>
      <color theme="0"/>
      <name val="Arial"/>
      <family val="2"/>
      <charset val="204"/>
    </font>
    <font>
      <vertAlign val="superscript"/>
      <sz val="11"/>
      <name val="Arial"/>
      <family val="2"/>
      <charset val="204"/>
    </font>
    <font>
      <sz val="14"/>
      <color theme="1"/>
      <name val="Arial"/>
      <family val="2"/>
      <charset val="204"/>
    </font>
    <font>
      <sz val="14"/>
      <color theme="1"/>
      <name val="Calibri"/>
      <family val="2"/>
      <charset val="204"/>
      <scheme val="minor"/>
    </font>
    <font>
      <sz val="1"/>
      <color theme="1"/>
      <name val="Arial"/>
      <family val="2"/>
      <charset val="204"/>
    </font>
    <font>
      <sz val="1"/>
      <color theme="1"/>
      <name val="Arial Cyr"/>
      <charset val="204"/>
    </font>
    <font>
      <sz val="14"/>
      <color theme="1"/>
      <name val="Arial Cyr"/>
      <charset val="204"/>
    </font>
    <font>
      <sz val="11"/>
      <color theme="1"/>
      <name val="Arial Cyr"/>
      <charset val="204"/>
    </font>
    <font>
      <sz val="18"/>
      <color theme="1"/>
      <name val="Arial Cyr"/>
      <charset val="204"/>
    </font>
    <font>
      <sz val="12"/>
      <color theme="1"/>
      <name val="Arial Cyr"/>
      <charset val="204"/>
    </font>
    <font>
      <b/>
      <sz val="20"/>
      <color theme="1"/>
      <name val="Calibri"/>
      <family val="2"/>
      <charset val="204"/>
      <scheme val="minor"/>
    </font>
    <font>
      <sz val="10"/>
      <color rgb="FFC00000"/>
      <name val="Arial"/>
      <family val="2"/>
      <charset val="204"/>
    </font>
    <font>
      <sz val="8"/>
      <name val="Arial"/>
      <family val="2"/>
    </font>
    <font>
      <b/>
      <sz val="10"/>
      <color rgb="FFFF0000"/>
      <name val="Arial Cyr"/>
      <charset val="204"/>
    </font>
    <font>
      <sz val="10"/>
      <color theme="1"/>
      <name val="Arial Cyr"/>
      <charset val="204"/>
    </font>
    <font>
      <b/>
      <sz val="10"/>
      <color theme="1"/>
      <name val="Arial Cyr"/>
      <charset val="204"/>
    </font>
    <font>
      <b/>
      <sz val="10"/>
      <color rgb="FF7F7F7F"/>
      <name val="Arial Cyr"/>
      <charset val="204"/>
    </font>
    <font>
      <b/>
      <sz val="16"/>
      <color indexed="10"/>
      <name val="Arial Cyr"/>
      <charset val="204"/>
    </font>
    <font>
      <b/>
      <sz val="11"/>
      <color theme="1"/>
      <name val="Arial Cyr"/>
      <charset val="204"/>
    </font>
    <font>
      <sz val="10"/>
      <color indexed="8"/>
      <name val="Arial Cyr"/>
      <charset val="204"/>
    </font>
    <font>
      <sz val="9"/>
      <color indexed="8"/>
      <name val="Arial Cyr"/>
      <charset val="204"/>
    </font>
    <font>
      <b/>
      <sz val="16"/>
      <color rgb="FFFF0000"/>
      <name val="Arial Cyr"/>
      <charset val="204"/>
    </font>
    <font>
      <sz val="8"/>
      <color rgb="FF4D4F50"/>
      <name val="Arial Cyr"/>
      <charset val="204"/>
    </font>
    <font>
      <b/>
      <sz val="12"/>
      <color theme="1"/>
      <name val="Arial Cyr"/>
      <charset val="204"/>
    </font>
    <font>
      <sz val="9"/>
      <name val="Arial Cyr"/>
      <charset val="204"/>
    </font>
    <font>
      <b/>
      <sz val="9"/>
      <color indexed="8"/>
      <name val="Arial Cyr"/>
      <charset val="204"/>
    </font>
    <font>
      <sz val="9"/>
      <color theme="1"/>
      <name val="Arial Cyr"/>
      <charset val="204"/>
    </font>
    <font>
      <sz val="8"/>
      <color theme="1"/>
      <name val="Arial Cyr"/>
      <charset val="204"/>
    </font>
    <font>
      <b/>
      <sz val="11"/>
      <color theme="0"/>
      <name val="Arial"/>
      <family val="2"/>
      <charset val="204"/>
    </font>
    <font>
      <b/>
      <sz val="10.5"/>
      <color rgb="FFC40000"/>
      <name val="Arial"/>
      <family val="2"/>
      <charset val="204"/>
    </font>
    <font>
      <sz val="10.5"/>
      <color rgb="FFC40000"/>
      <name val="Arial"/>
      <family val="2"/>
      <charset val="204"/>
    </font>
    <font>
      <vertAlign val="superscript"/>
      <sz val="12"/>
      <name val="Arial"/>
      <family val="2"/>
      <charset val="204"/>
    </font>
    <font>
      <sz val="45"/>
      <color indexed="8"/>
      <name val="Arial"/>
      <family val="2"/>
      <charset val="204"/>
    </font>
    <font>
      <b/>
      <sz val="44"/>
      <color indexed="10"/>
      <name val="Arial"/>
      <family val="2"/>
      <charset val="204"/>
    </font>
    <font>
      <sz val="8"/>
      <color indexed="8"/>
      <name val="Arial Cyr"/>
      <charset val="204"/>
    </font>
    <font>
      <b/>
      <sz val="11"/>
      <name val="Arial Cyr"/>
      <charset val="204"/>
    </font>
    <font>
      <sz val="11"/>
      <color indexed="12"/>
      <name val="Arial Cyr"/>
      <charset val="204"/>
    </font>
    <font>
      <b/>
      <sz val="8"/>
      <name val="Arial Cyr"/>
      <charset val="204"/>
    </font>
    <font>
      <b/>
      <sz val="10"/>
      <color indexed="8"/>
      <name val="Arial Cyr"/>
      <charset val="204"/>
    </font>
    <font>
      <sz val="11"/>
      <color indexed="8"/>
      <name val="Arial Cyr"/>
      <charset val="204"/>
    </font>
    <font>
      <b/>
      <sz val="14"/>
      <color rgb="FFC00000"/>
      <name val="Arial Cyr"/>
      <charset val="204"/>
    </font>
    <font>
      <b/>
      <sz val="18"/>
      <color rgb="FFFF0000"/>
      <name val="Arial"/>
      <family val="2"/>
      <charset val="204"/>
    </font>
    <font>
      <b/>
      <sz val="40"/>
      <color rgb="FFFF0000"/>
      <name val="Arial"/>
      <family val="2"/>
      <charset val="204"/>
    </font>
    <font>
      <sz val="14"/>
      <color indexed="8"/>
      <name val="Arial"/>
      <family val="2"/>
      <charset val="204"/>
    </font>
    <font>
      <vertAlign val="superscript"/>
      <sz val="14"/>
      <name val="Arial"/>
      <family val="2"/>
      <charset val="204"/>
    </font>
    <font>
      <sz val="14"/>
      <color rgb="FFFF0000"/>
      <name val="Arial"/>
      <family val="2"/>
      <charset val="204"/>
    </font>
    <font>
      <b/>
      <sz val="18"/>
      <name val="Arial Cyr"/>
      <charset val="204"/>
    </font>
    <font>
      <b/>
      <sz val="20"/>
      <name val="Arial Cyr"/>
      <family val="2"/>
      <charset val="204"/>
    </font>
    <font>
      <b/>
      <sz val="8"/>
      <name val="Arial Cyr"/>
      <family val="2"/>
      <charset val="204"/>
    </font>
    <font>
      <b/>
      <sz val="11"/>
      <color indexed="8"/>
      <name val="Arial Cyr"/>
      <charset val="204"/>
    </font>
    <font>
      <u/>
      <sz val="20"/>
      <name val="Arial"/>
      <family val="2"/>
      <charset val="204"/>
    </font>
    <font>
      <sz val="20"/>
      <color theme="1"/>
      <name val="Arial Cyr"/>
      <charset val="204"/>
    </font>
    <font>
      <b/>
      <sz val="28"/>
      <name val="Arial Cyr"/>
      <family val="2"/>
      <charset val="204"/>
    </font>
    <font>
      <b/>
      <sz val="10"/>
      <name val="Arial Cyr"/>
      <family val="2"/>
      <charset val="204"/>
    </font>
    <font>
      <sz val="45"/>
      <color rgb="FFFF0000"/>
      <name val="Arial"/>
      <family val="2"/>
      <charset val="204"/>
    </font>
    <font>
      <sz val="45"/>
      <color theme="1"/>
      <name val="Arial"/>
      <family val="2"/>
      <charset val="204"/>
    </font>
    <font>
      <sz val="20"/>
      <color rgb="FFFF0000"/>
      <name val="Arial"/>
      <family val="2"/>
      <charset val="204"/>
    </font>
    <font>
      <i/>
      <sz val="10"/>
      <color theme="1"/>
      <name val="Arial"/>
      <family val="2"/>
      <charset val="204"/>
    </font>
    <font>
      <i/>
      <sz val="10"/>
      <name val="Arial"/>
      <family val="2"/>
      <charset val="204"/>
    </font>
    <font>
      <sz val="10"/>
      <color rgb="FFFF0000"/>
      <name val="Arial Cyr"/>
      <charset val="204"/>
    </font>
    <font>
      <b/>
      <sz val="11"/>
      <color rgb="FFBF1F13"/>
      <name val="Arial Cyr"/>
      <charset val="204"/>
    </font>
    <font>
      <sz val="18"/>
      <color indexed="8"/>
      <name val="Arial Cyr"/>
      <charset val="204"/>
    </font>
    <font>
      <b/>
      <sz val="12"/>
      <color rgb="FF0000FF"/>
      <name val="Arial"/>
      <family val="2"/>
      <charset val="204"/>
    </font>
    <font>
      <sz val="12"/>
      <color rgb="FFFF0000"/>
      <name val="Arial"/>
      <family val="2"/>
      <charset val="204"/>
    </font>
    <font>
      <sz val="12"/>
      <color theme="1"/>
      <name val="Arial"/>
      <family val="2"/>
      <charset val="204"/>
    </font>
    <font>
      <b/>
      <sz val="20"/>
      <color rgb="FFC40000"/>
      <name val="Arial"/>
      <family val="2"/>
      <charset val="204"/>
    </font>
    <font>
      <b/>
      <sz val="12"/>
      <name val="Arial Cyr"/>
      <charset val="204"/>
    </font>
    <font>
      <b/>
      <sz val="14"/>
      <color indexed="10"/>
      <name val="Arial Cyr"/>
      <charset val="204"/>
    </font>
    <font>
      <sz val="10"/>
      <color indexed="12"/>
      <name val="Arial Cyr"/>
      <charset val="204"/>
    </font>
    <font>
      <b/>
      <sz val="12"/>
      <color indexed="8"/>
      <name val="Arial Cyr"/>
      <charset val="204"/>
    </font>
    <font>
      <sz val="12"/>
      <color indexed="8"/>
      <name val="Arial Cyr"/>
      <charset val="204"/>
    </font>
    <font>
      <vertAlign val="superscript"/>
      <sz val="12"/>
      <name val="Arial Cyr"/>
      <charset val="204"/>
    </font>
    <font>
      <b/>
      <sz val="24"/>
      <color indexed="8"/>
      <name val="Arial"/>
      <family val="2"/>
      <charset val="204"/>
    </font>
  </fonts>
  <fills count="65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31"/>
      </patternFill>
    </fill>
    <fill>
      <patternFill patternType="solid">
        <fgColor indexed="31"/>
        <bgColor indexed="22"/>
      </patternFill>
    </fill>
    <fill>
      <patternFill patternType="solid">
        <fgColor indexed="45"/>
      </patternFill>
    </fill>
    <fill>
      <patternFill patternType="solid">
        <fgColor indexed="45"/>
        <bgColor indexed="29"/>
      </patternFill>
    </fill>
    <fill>
      <patternFill patternType="solid">
        <fgColor indexed="42"/>
      </patternFill>
    </fill>
    <fill>
      <patternFill patternType="solid">
        <fgColor indexed="42"/>
        <bgColor indexed="27"/>
      </patternFill>
    </fill>
    <fill>
      <patternFill patternType="solid">
        <fgColor indexed="46"/>
      </patternFill>
    </fill>
    <fill>
      <patternFill patternType="solid">
        <fgColor indexed="46"/>
        <bgColor indexed="24"/>
      </patternFill>
    </fill>
    <fill>
      <patternFill patternType="solid">
        <fgColor indexed="27"/>
      </patternFill>
    </fill>
    <fill>
      <patternFill patternType="solid">
        <fgColor indexed="27"/>
        <bgColor indexed="41"/>
      </patternFill>
    </fill>
    <fill>
      <patternFill patternType="solid">
        <fgColor indexed="47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44"/>
        <bgColor indexed="31"/>
      </patternFill>
    </fill>
    <fill>
      <patternFill patternType="solid">
        <fgColor indexed="29"/>
      </patternFill>
    </fill>
    <fill>
      <patternFill patternType="solid">
        <fgColor indexed="29"/>
        <bgColor indexed="45"/>
      </patternFill>
    </fill>
    <fill>
      <patternFill patternType="solid">
        <fgColor indexed="11"/>
      </patternFill>
    </fill>
    <fill>
      <patternFill patternType="solid">
        <fgColor indexed="11"/>
        <bgColor indexed="49"/>
      </patternFill>
    </fill>
    <fill>
      <patternFill patternType="solid">
        <fgColor indexed="51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0"/>
        <bgColor indexed="21"/>
      </patternFill>
    </fill>
    <fill>
      <patternFill patternType="solid">
        <fgColor indexed="36"/>
      </patternFill>
    </fill>
    <fill>
      <patternFill patternType="solid">
        <fgColor indexed="20"/>
        <bgColor indexed="36"/>
      </patternFill>
    </fill>
    <fill>
      <patternFill patternType="solid">
        <fgColor indexed="49"/>
      </patternFill>
    </fill>
    <fill>
      <patternFill patternType="solid">
        <fgColor indexed="49"/>
        <bgColor indexed="40"/>
      </patternFill>
    </fill>
    <fill>
      <patternFill patternType="solid">
        <fgColor indexed="52"/>
      </patternFill>
    </fill>
    <fill>
      <patternFill patternType="solid">
        <fgColor indexed="52"/>
        <bgColor indexed="51"/>
      </patternFill>
    </fill>
    <fill>
      <patternFill patternType="solid">
        <fgColor indexed="62"/>
      </patternFill>
    </fill>
    <fill>
      <patternFill patternType="solid">
        <fgColor indexed="62"/>
        <bgColor indexed="56"/>
      </patternFill>
    </fill>
    <fill>
      <patternFill patternType="solid">
        <fgColor indexed="10"/>
      </patternFill>
    </fill>
    <fill>
      <patternFill patternType="solid">
        <fgColor indexed="10"/>
        <bgColor indexed="60"/>
      </patternFill>
    </fill>
    <fill>
      <patternFill patternType="solid">
        <fgColor indexed="57"/>
      </patternFill>
    </fill>
    <fill>
      <patternFill patternType="solid">
        <fgColor indexed="57"/>
        <bgColor indexed="21"/>
      </patternFill>
    </fill>
    <fill>
      <patternFill patternType="solid">
        <fgColor indexed="53"/>
      </patternFill>
    </fill>
    <fill>
      <patternFill patternType="solid">
        <fgColor indexed="53"/>
        <bgColor indexed="52"/>
      </patternFill>
    </fill>
    <fill>
      <patternFill patternType="solid">
        <fgColor indexed="22"/>
      </patternFill>
    </fill>
    <fill>
      <patternFill patternType="solid">
        <fgColor indexed="22"/>
        <bgColor indexed="31"/>
      </patternFill>
    </fill>
    <fill>
      <patternFill patternType="solid">
        <fgColor indexed="55"/>
      </patternFill>
    </fill>
    <fill>
      <patternFill patternType="solid">
        <fgColor indexed="55"/>
        <bgColor indexed="23"/>
      </patternFill>
    </fill>
    <fill>
      <patternFill patternType="solid">
        <fgColor indexed="43"/>
      </patternFill>
    </fill>
    <fill>
      <patternFill patternType="solid">
        <fgColor indexed="43"/>
        <bgColor indexed="26"/>
      </patternFill>
    </fill>
    <fill>
      <patternFill patternType="solid">
        <fgColor indexed="26"/>
      </patternFill>
    </fill>
    <fill>
      <patternFill patternType="solid">
        <fgColor indexed="26"/>
        <bgColor indexed="9"/>
      </patternFill>
    </fill>
    <fill>
      <patternFill patternType="solid">
        <fgColor indexed="9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59191F"/>
        <bgColor indexed="64"/>
      </patternFill>
    </fill>
    <fill>
      <patternFill patternType="solid">
        <fgColor rgb="FF0046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933A3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indexed="55"/>
        <bgColor indexed="64"/>
      </patternFill>
    </fill>
  </fills>
  <borders count="107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/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/>
      <diagonal style="thin">
        <color indexed="64"/>
      </diagonal>
    </border>
    <border diagonalUp="1">
      <left style="thin">
        <color indexed="64"/>
      </left>
      <right style="thin">
        <color indexed="64"/>
      </right>
      <top/>
      <bottom/>
      <diagonal style="thin">
        <color indexed="64"/>
      </diagonal>
    </border>
    <border diagonalUp="1">
      <left style="thin">
        <color indexed="64"/>
      </left>
      <right style="thin">
        <color indexed="64"/>
      </right>
      <top/>
      <bottom style="thin">
        <color indexed="64"/>
      </bottom>
      <diagonal style="thin">
        <color indexed="64"/>
      </diagonal>
    </border>
    <border>
      <left/>
      <right/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64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rgb="FFFF0000"/>
      </top>
      <bottom/>
      <diagonal/>
    </border>
    <border>
      <left/>
      <right/>
      <top/>
      <bottom style="medium">
        <color rgb="FFFF0000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ck">
        <color rgb="FFC00000"/>
      </bottom>
      <diagonal/>
    </border>
    <border>
      <left/>
      <right/>
      <top style="thick">
        <color rgb="FFC00000"/>
      </top>
      <bottom/>
      <diagonal/>
    </border>
    <border>
      <left/>
      <right/>
      <top/>
      <bottom style="medium">
        <color rgb="FFBF1F13"/>
      </bottom>
      <diagonal/>
    </border>
    <border>
      <left/>
      <right/>
      <top/>
      <bottom style="medium">
        <color rgb="FFC00000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/>
      <bottom/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medium">
        <color rgb="FFC00000"/>
      </left>
      <right/>
      <top style="medium">
        <color rgb="FFC00000"/>
      </top>
      <bottom/>
      <diagonal/>
    </border>
    <border>
      <left/>
      <right/>
      <top style="medium">
        <color rgb="FFC00000"/>
      </top>
      <bottom/>
      <diagonal/>
    </border>
    <border>
      <left style="medium">
        <color rgb="FFC00000"/>
      </left>
      <right/>
      <top/>
      <bottom/>
      <diagonal/>
    </border>
    <border>
      <left style="medium">
        <color rgb="FFC00000"/>
      </left>
      <right/>
      <top/>
      <bottom style="medium">
        <color rgb="FFC00000"/>
      </bottom>
      <diagonal/>
    </border>
    <border>
      <left/>
      <right/>
      <top/>
      <bottom style="medium">
        <color indexed="10"/>
      </bottom>
      <diagonal/>
    </border>
    <border>
      <left/>
      <right/>
      <top style="medium">
        <color indexed="10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</borders>
  <cellStyleXfs count="395">
    <xf numFmtId="0" fontId="0" fillId="0" borderId="0"/>
    <xf numFmtId="0" fontId="2" fillId="0" borderId="0"/>
    <xf numFmtId="0" fontId="2" fillId="0" borderId="0"/>
    <xf numFmtId="0" fontId="6" fillId="0" borderId="0"/>
    <xf numFmtId="9" fontId="2" fillId="0" borderId="0" applyFont="0" applyFill="0" applyBorder="0" applyAlignment="0" applyProtection="0"/>
    <xf numFmtId="164" fontId="2" fillId="0" borderId="0" applyFont="0" applyFill="0" applyBorder="0" applyAlignment="0" applyProtection="0"/>
    <xf numFmtId="0" fontId="14" fillId="0" borderId="0"/>
    <xf numFmtId="0" fontId="15" fillId="0" borderId="0"/>
    <xf numFmtId="0" fontId="6" fillId="0" borderId="0"/>
    <xf numFmtId="0" fontId="6" fillId="0" borderId="0"/>
    <xf numFmtId="0" fontId="15" fillId="0" borderId="0"/>
    <xf numFmtId="0" fontId="15" fillId="0" borderId="0"/>
    <xf numFmtId="0" fontId="6" fillId="0" borderId="0"/>
    <xf numFmtId="0" fontId="6" fillId="0" borderId="0"/>
    <xf numFmtId="0" fontId="15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5" fillId="0" borderId="0"/>
    <xf numFmtId="0" fontId="6" fillId="0" borderId="0"/>
    <xf numFmtId="0" fontId="6" fillId="0" borderId="0"/>
    <xf numFmtId="0" fontId="15" fillId="0" borderId="0"/>
    <xf numFmtId="0" fontId="15" fillId="0" borderId="0"/>
    <xf numFmtId="0" fontId="6" fillId="0" borderId="0"/>
    <xf numFmtId="0" fontId="6" fillId="0" borderId="0"/>
    <xf numFmtId="0" fontId="15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7" fillId="5" borderId="0" applyNumberFormat="0" applyBorder="0" applyAlignment="0" applyProtection="0"/>
    <xf numFmtId="0" fontId="17" fillId="5" borderId="0" applyNumberFormat="0" applyBorder="0" applyAlignment="0" applyProtection="0"/>
    <xf numFmtId="0" fontId="17" fillId="6" borderId="0" applyNumberFormat="0" applyBorder="0" applyAlignment="0" applyProtection="0"/>
    <xf numFmtId="0" fontId="17" fillId="5" borderId="0" applyNumberFormat="0" applyBorder="0" applyAlignment="0" applyProtection="0"/>
    <xf numFmtId="0" fontId="17" fillId="5" borderId="0" applyNumberFormat="0" applyBorder="0" applyAlignment="0" applyProtection="0"/>
    <xf numFmtId="0" fontId="17" fillId="7" borderId="0" applyNumberFormat="0" applyBorder="0" applyAlignment="0" applyProtection="0"/>
    <xf numFmtId="0" fontId="17" fillId="7" borderId="0" applyNumberFormat="0" applyBorder="0" applyAlignment="0" applyProtection="0"/>
    <xf numFmtId="0" fontId="17" fillId="8" borderId="0" applyNumberFormat="0" applyBorder="0" applyAlignment="0" applyProtection="0"/>
    <xf numFmtId="0" fontId="17" fillId="7" borderId="0" applyNumberFormat="0" applyBorder="0" applyAlignment="0" applyProtection="0"/>
    <xf numFmtId="0" fontId="17" fillId="7" borderId="0" applyNumberFormat="0" applyBorder="0" applyAlignment="0" applyProtection="0"/>
    <xf numFmtId="0" fontId="17" fillId="9" borderId="0" applyNumberFormat="0" applyBorder="0" applyAlignment="0" applyProtection="0"/>
    <xf numFmtId="0" fontId="17" fillId="9" borderId="0" applyNumberFormat="0" applyBorder="0" applyAlignment="0" applyProtection="0"/>
    <xf numFmtId="0" fontId="17" fillId="10" borderId="0" applyNumberFormat="0" applyBorder="0" applyAlignment="0" applyProtection="0"/>
    <xf numFmtId="0" fontId="17" fillId="9" borderId="0" applyNumberFormat="0" applyBorder="0" applyAlignment="0" applyProtection="0"/>
    <xf numFmtId="0" fontId="17" fillId="9" borderId="0" applyNumberFormat="0" applyBorder="0" applyAlignment="0" applyProtection="0"/>
    <xf numFmtId="0" fontId="17" fillId="11" borderId="0" applyNumberFormat="0" applyBorder="0" applyAlignment="0" applyProtection="0"/>
    <xf numFmtId="0" fontId="17" fillId="11" borderId="0" applyNumberFormat="0" applyBorder="0" applyAlignment="0" applyProtection="0"/>
    <xf numFmtId="0" fontId="17" fillId="12" borderId="0" applyNumberFormat="0" applyBorder="0" applyAlignment="0" applyProtection="0"/>
    <xf numFmtId="0" fontId="17" fillId="11" borderId="0" applyNumberFormat="0" applyBorder="0" applyAlignment="0" applyProtection="0"/>
    <xf numFmtId="0" fontId="17" fillId="11" borderId="0" applyNumberFormat="0" applyBorder="0" applyAlignment="0" applyProtection="0"/>
    <xf numFmtId="0" fontId="17" fillId="13" borderId="0" applyNumberFormat="0" applyBorder="0" applyAlignment="0" applyProtection="0"/>
    <xf numFmtId="0" fontId="17" fillId="13" borderId="0" applyNumberFormat="0" applyBorder="0" applyAlignment="0" applyProtection="0"/>
    <xf numFmtId="0" fontId="17" fillId="14" borderId="0" applyNumberFormat="0" applyBorder="0" applyAlignment="0" applyProtection="0"/>
    <xf numFmtId="0" fontId="17" fillId="13" borderId="0" applyNumberFormat="0" applyBorder="0" applyAlignment="0" applyProtection="0"/>
    <xf numFmtId="0" fontId="17" fillId="13" borderId="0" applyNumberFormat="0" applyBorder="0" applyAlignment="0" applyProtection="0"/>
    <xf numFmtId="0" fontId="17" fillId="15" borderId="0" applyNumberFormat="0" applyBorder="0" applyAlignment="0" applyProtection="0"/>
    <xf numFmtId="0" fontId="17" fillId="15" borderId="0" applyNumberFormat="0" applyBorder="0" applyAlignment="0" applyProtection="0"/>
    <xf numFmtId="0" fontId="17" fillId="16" borderId="0" applyNumberFormat="0" applyBorder="0" applyAlignment="0" applyProtection="0"/>
    <xf numFmtId="0" fontId="17" fillId="15" borderId="0" applyNumberFormat="0" applyBorder="0" applyAlignment="0" applyProtection="0"/>
    <xf numFmtId="0" fontId="17" fillId="15" borderId="0" applyNumberFormat="0" applyBorder="0" applyAlignment="0" applyProtection="0"/>
    <xf numFmtId="0" fontId="17" fillId="17" borderId="0" applyNumberFormat="0" applyBorder="0" applyAlignment="0" applyProtection="0"/>
    <xf numFmtId="0" fontId="17" fillId="17" borderId="0" applyNumberFormat="0" applyBorder="0" applyAlignment="0" applyProtection="0"/>
    <xf numFmtId="0" fontId="17" fillId="18" borderId="0" applyNumberFormat="0" applyBorder="0" applyAlignment="0" applyProtection="0"/>
    <xf numFmtId="0" fontId="17" fillId="17" borderId="0" applyNumberFormat="0" applyBorder="0" applyAlignment="0" applyProtection="0"/>
    <xf numFmtId="0" fontId="17" fillId="17" borderId="0" applyNumberFormat="0" applyBorder="0" applyAlignment="0" applyProtection="0"/>
    <xf numFmtId="0" fontId="17" fillId="19" borderId="0" applyNumberFormat="0" applyBorder="0" applyAlignment="0" applyProtection="0"/>
    <xf numFmtId="0" fontId="17" fillId="19" borderId="0" applyNumberFormat="0" applyBorder="0" applyAlignment="0" applyProtection="0"/>
    <xf numFmtId="0" fontId="17" fillId="20" borderId="0" applyNumberFormat="0" applyBorder="0" applyAlignment="0" applyProtection="0"/>
    <xf numFmtId="0" fontId="17" fillId="19" borderId="0" applyNumberFormat="0" applyBorder="0" applyAlignment="0" applyProtection="0"/>
    <xf numFmtId="0" fontId="17" fillId="19" borderId="0" applyNumberFormat="0" applyBorder="0" applyAlignment="0" applyProtection="0"/>
    <xf numFmtId="0" fontId="17" fillId="21" borderId="0" applyNumberFormat="0" applyBorder="0" applyAlignment="0" applyProtection="0"/>
    <xf numFmtId="0" fontId="17" fillId="21" borderId="0" applyNumberFormat="0" applyBorder="0" applyAlignment="0" applyProtection="0"/>
    <xf numFmtId="0" fontId="17" fillId="22" borderId="0" applyNumberFormat="0" applyBorder="0" applyAlignment="0" applyProtection="0"/>
    <xf numFmtId="0" fontId="17" fillId="21" borderId="0" applyNumberFormat="0" applyBorder="0" applyAlignment="0" applyProtection="0"/>
    <xf numFmtId="0" fontId="17" fillId="21" borderId="0" applyNumberFormat="0" applyBorder="0" applyAlignment="0" applyProtection="0"/>
    <xf numFmtId="0" fontId="17" fillId="11" borderId="0" applyNumberFormat="0" applyBorder="0" applyAlignment="0" applyProtection="0"/>
    <xf numFmtId="0" fontId="17" fillId="11" borderId="0" applyNumberFormat="0" applyBorder="0" applyAlignment="0" applyProtection="0"/>
    <xf numFmtId="0" fontId="17" fillId="12" borderId="0" applyNumberFormat="0" applyBorder="0" applyAlignment="0" applyProtection="0"/>
    <xf numFmtId="0" fontId="17" fillId="11" borderId="0" applyNumberFormat="0" applyBorder="0" applyAlignment="0" applyProtection="0"/>
    <xf numFmtId="0" fontId="17" fillId="11" borderId="0" applyNumberFormat="0" applyBorder="0" applyAlignment="0" applyProtection="0"/>
    <xf numFmtId="0" fontId="17" fillId="17" borderId="0" applyNumberFormat="0" applyBorder="0" applyAlignment="0" applyProtection="0"/>
    <xf numFmtId="0" fontId="17" fillId="17" borderId="0" applyNumberFormat="0" applyBorder="0" applyAlignment="0" applyProtection="0"/>
    <xf numFmtId="0" fontId="17" fillId="18" borderId="0" applyNumberFormat="0" applyBorder="0" applyAlignment="0" applyProtection="0"/>
    <xf numFmtId="0" fontId="17" fillId="17" borderId="0" applyNumberFormat="0" applyBorder="0" applyAlignment="0" applyProtection="0"/>
    <xf numFmtId="0" fontId="17" fillId="17" borderId="0" applyNumberFormat="0" applyBorder="0" applyAlignment="0" applyProtection="0"/>
    <xf numFmtId="0" fontId="17" fillId="23" borderId="0" applyNumberFormat="0" applyBorder="0" applyAlignment="0" applyProtection="0"/>
    <xf numFmtId="0" fontId="17" fillId="23" borderId="0" applyNumberFormat="0" applyBorder="0" applyAlignment="0" applyProtection="0"/>
    <xf numFmtId="0" fontId="17" fillId="24" borderId="0" applyNumberFormat="0" applyBorder="0" applyAlignment="0" applyProtection="0"/>
    <xf numFmtId="0" fontId="17" fillId="23" borderId="0" applyNumberFormat="0" applyBorder="0" applyAlignment="0" applyProtection="0"/>
    <xf numFmtId="0" fontId="17" fillId="23" borderId="0" applyNumberFormat="0" applyBorder="0" applyAlignment="0" applyProtection="0"/>
    <xf numFmtId="0" fontId="18" fillId="25" borderId="0" applyNumberFormat="0" applyBorder="0" applyAlignment="0" applyProtection="0"/>
    <xf numFmtId="0" fontId="18" fillId="26" borderId="0" applyNumberFormat="0" applyBorder="0" applyAlignment="0" applyProtection="0"/>
    <xf numFmtId="0" fontId="18" fillId="26" borderId="0" applyNumberFormat="0" applyBorder="0" applyAlignment="0" applyProtection="0"/>
    <xf numFmtId="0" fontId="18" fillId="25" borderId="0" applyNumberFormat="0" applyBorder="0" applyAlignment="0" applyProtection="0"/>
    <xf numFmtId="0" fontId="18" fillId="25" borderId="0" applyNumberFormat="0" applyBorder="0" applyAlignment="0" applyProtection="0"/>
    <xf numFmtId="0" fontId="18" fillId="19" borderId="0" applyNumberFormat="0" applyBorder="0" applyAlignment="0" applyProtection="0"/>
    <xf numFmtId="0" fontId="18" fillId="20" borderId="0" applyNumberFormat="0" applyBorder="0" applyAlignment="0" applyProtection="0"/>
    <xf numFmtId="0" fontId="18" fillId="20" borderId="0" applyNumberFormat="0" applyBorder="0" applyAlignment="0" applyProtection="0"/>
    <xf numFmtId="0" fontId="18" fillId="19" borderId="0" applyNumberFormat="0" applyBorder="0" applyAlignment="0" applyProtection="0"/>
    <xf numFmtId="0" fontId="18" fillId="19" borderId="0" applyNumberFormat="0" applyBorder="0" applyAlignment="0" applyProtection="0"/>
    <xf numFmtId="0" fontId="18" fillId="21" borderId="0" applyNumberFormat="0" applyBorder="0" applyAlignment="0" applyProtection="0"/>
    <xf numFmtId="0" fontId="18" fillId="22" borderId="0" applyNumberFormat="0" applyBorder="0" applyAlignment="0" applyProtection="0"/>
    <xf numFmtId="0" fontId="18" fillId="22" borderId="0" applyNumberFormat="0" applyBorder="0" applyAlignment="0" applyProtection="0"/>
    <xf numFmtId="0" fontId="18" fillId="21" borderId="0" applyNumberFormat="0" applyBorder="0" applyAlignment="0" applyProtection="0"/>
    <xf numFmtId="0" fontId="18" fillId="21" borderId="0" applyNumberFormat="0" applyBorder="0" applyAlignment="0" applyProtection="0"/>
    <xf numFmtId="0" fontId="18" fillId="27" borderId="0" applyNumberFormat="0" applyBorder="0" applyAlignment="0" applyProtection="0"/>
    <xf numFmtId="0" fontId="18" fillId="28" borderId="0" applyNumberFormat="0" applyBorder="0" applyAlignment="0" applyProtection="0"/>
    <xf numFmtId="0" fontId="18" fillId="28" borderId="0" applyNumberFormat="0" applyBorder="0" applyAlignment="0" applyProtection="0"/>
    <xf numFmtId="0" fontId="18" fillId="27" borderId="0" applyNumberFormat="0" applyBorder="0" applyAlignment="0" applyProtection="0"/>
    <xf numFmtId="0" fontId="18" fillId="27" borderId="0" applyNumberFormat="0" applyBorder="0" applyAlignment="0" applyProtection="0"/>
    <xf numFmtId="0" fontId="18" fillId="29" borderId="0" applyNumberFormat="0" applyBorder="0" applyAlignment="0" applyProtection="0"/>
    <xf numFmtId="0" fontId="18" fillId="30" borderId="0" applyNumberFormat="0" applyBorder="0" applyAlignment="0" applyProtection="0"/>
    <xf numFmtId="0" fontId="18" fillId="30" borderId="0" applyNumberFormat="0" applyBorder="0" applyAlignment="0" applyProtection="0"/>
    <xf numFmtId="0" fontId="18" fillId="29" borderId="0" applyNumberFormat="0" applyBorder="0" applyAlignment="0" applyProtection="0"/>
    <xf numFmtId="0" fontId="18" fillId="29" borderId="0" applyNumberFormat="0" applyBorder="0" applyAlignment="0" applyProtection="0"/>
    <xf numFmtId="0" fontId="18" fillId="31" borderId="0" applyNumberFormat="0" applyBorder="0" applyAlignment="0" applyProtection="0"/>
    <xf numFmtId="0" fontId="18" fillId="32" borderId="0" applyNumberFormat="0" applyBorder="0" applyAlignment="0" applyProtection="0"/>
    <xf numFmtId="0" fontId="18" fillId="32" borderId="0" applyNumberFormat="0" applyBorder="0" applyAlignment="0" applyProtection="0"/>
    <xf numFmtId="0" fontId="18" fillId="31" borderId="0" applyNumberFormat="0" applyBorder="0" applyAlignment="0" applyProtection="0"/>
    <xf numFmtId="0" fontId="18" fillId="31" borderId="0" applyNumberFormat="0" applyBorder="0" applyAlignment="0" applyProtection="0"/>
    <xf numFmtId="167" fontId="6" fillId="0" borderId="0" applyFont="0" applyFill="0" applyBorder="0" applyAlignment="0" applyProtection="0"/>
    <xf numFmtId="167" fontId="6" fillId="0" borderId="0" applyFont="0" applyFill="0" applyBorder="0" applyAlignment="0" applyProtection="0"/>
    <xf numFmtId="168" fontId="6" fillId="0" borderId="0" applyFill="0" applyBorder="0" applyAlignment="0" applyProtection="0"/>
    <xf numFmtId="167" fontId="6" fillId="0" borderId="0" applyFont="0" applyFill="0" applyBorder="0" applyAlignment="0" applyProtection="0"/>
    <xf numFmtId="0" fontId="17" fillId="0" borderId="0"/>
    <xf numFmtId="2" fontId="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6" fillId="0" borderId="0"/>
    <xf numFmtId="0" fontId="6" fillId="0" borderId="0"/>
    <xf numFmtId="0" fontId="6" fillId="0" borderId="0"/>
    <xf numFmtId="0" fontId="16" fillId="0" borderId="0"/>
    <xf numFmtId="0" fontId="18" fillId="33" borderId="0" applyNumberFormat="0" applyBorder="0" applyAlignment="0" applyProtection="0"/>
    <xf numFmtId="0" fontId="18" fillId="34" borderId="0" applyNumberFormat="0" applyBorder="0" applyAlignment="0" applyProtection="0"/>
    <xf numFmtId="0" fontId="18" fillId="34" borderId="0" applyNumberFormat="0" applyBorder="0" applyAlignment="0" applyProtection="0"/>
    <xf numFmtId="0" fontId="18" fillId="33" borderId="0" applyNumberFormat="0" applyBorder="0" applyAlignment="0" applyProtection="0"/>
    <xf numFmtId="0" fontId="18" fillId="33" borderId="0" applyNumberFormat="0" applyBorder="0" applyAlignment="0" applyProtection="0"/>
    <xf numFmtId="0" fontId="18" fillId="35" borderId="0" applyNumberFormat="0" applyBorder="0" applyAlignment="0" applyProtection="0"/>
    <xf numFmtId="0" fontId="18" fillId="36" borderId="0" applyNumberFormat="0" applyBorder="0" applyAlignment="0" applyProtection="0"/>
    <xf numFmtId="0" fontId="18" fillId="36" borderId="0" applyNumberFormat="0" applyBorder="0" applyAlignment="0" applyProtection="0"/>
    <xf numFmtId="0" fontId="18" fillId="35" borderId="0" applyNumberFormat="0" applyBorder="0" applyAlignment="0" applyProtection="0"/>
    <xf numFmtId="0" fontId="18" fillId="35" borderId="0" applyNumberFormat="0" applyBorder="0" applyAlignment="0" applyProtection="0"/>
    <xf numFmtId="0" fontId="18" fillId="37" borderId="0" applyNumberFormat="0" applyBorder="0" applyAlignment="0" applyProtection="0"/>
    <xf numFmtId="0" fontId="18" fillId="38" borderId="0" applyNumberFormat="0" applyBorder="0" applyAlignment="0" applyProtection="0"/>
    <xf numFmtId="0" fontId="18" fillId="38" borderId="0" applyNumberFormat="0" applyBorder="0" applyAlignment="0" applyProtection="0"/>
    <xf numFmtId="0" fontId="18" fillId="37" borderId="0" applyNumberFormat="0" applyBorder="0" applyAlignment="0" applyProtection="0"/>
    <xf numFmtId="0" fontId="18" fillId="37" borderId="0" applyNumberFormat="0" applyBorder="0" applyAlignment="0" applyProtection="0"/>
    <xf numFmtId="0" fontId="18" fillId="27" borderId="0" applyNumberFormat="0" applyBorder="0" applyAlignment="0" applyProtection="0"/>
    <xf numFmtId="0" fontId="18" fillId="28" borderId="0" applyNumberFormat="0" applyBorder="0" applyAlignment="0" applyProtection="0"/>
    <xf numFmtId="0" fontId="18" fillId="28" borderId="0" applyNumberFormat="0" applyBorder="0" applyAlignment="0" applyProtection="0"/>
    <xf numFmtId="0" fontId="18" fillId="27" borderId="0" applyNumberFormat="0" applyBorder="0" applyAlignment="0" applyProtection="0"/>
    <xf numFmtId="0" fontId="18" fillId="27" borderId="0" applyNumberFormat="0" applyBorder="0" applyAlignment="0" applyProtection="0"/>
    <xf numFmtId="0" fontId="18" fillId="29" borderId="0" applyNumberFormat="0" applyBorder="0" applyAlignment="0" applyProtection="0"/>
    <xf numFmtId="0" fontId="18" fillId="30" borderId="0" applyNumberFormat="0" applyBorder="0" applyAlignment="0" applyProtection="0"/>
    <xf numFmtId="0" fontId="18" fillId="30" borderId="0" applyNumberFormat="0" applyBorder="0" applyAlignment="0" applyProtection="0"/>
    <xf numFmtId="0" fontId="18" fillId="29" borderId="0" applyNumberFormat="0" applyBorder="0" applyAlignment="0" applyProtection="0"/>
    <xf numFmtId="0" fontId="18" fillId="29" borderId="0" applyNumberFormat="0" applyBorder="0" applyAlignment="0" applyProtection="0"/>
    <xf numFmtId="0" fontId="18" fillId="39" borderId="0" applyNumberFormat="0" applyBorder="0" applyAlignment="0" applyProtection="0"/>
    <xf numFmtId="0" fontId="18" fillId="40" borderId="0" applyNumberFormat="0" applyBorder="0" applyAlignment="0" applyProtection="0"/>
    <xf numFmtId="0" fontId="18" fillId="40" borderId="0" applyNumberFormat="0" applyBorder="0" applyAlignment="0" applyProtection="0"/>
    <xf numFmtId="0" fontId="18" fillId="39" borderId="0" applyNumberFormat="0" applyBorder="0" applyAlignment="0" applyProtection="0"/>
    <xf numFmtId="0" fontId="18" fillId="39" borderId="0" applyNumberFormat="0" applyBorder="0" applyAlignment="0" applyProtection="0"/>
    <xf numFmtId="0" fontId="19" fillId="15" borderId="17" applyNumberFormat="0" applyAlignment="0" applyProtection="0"/>
    <xf numFmtId="0" fontId="19" fillId="16" borderId="17" applyNumberFormat="0" applyAlignment="0" applyProtection="0"/>
    <xf numFmtId="0" fontId="19" fillId="16" borderId="17" applyNumberFormat="0" applyAlignment="0" applyProtection="0"/>
    <xf numFmtId="0" fontId="19" fillId="15" borderId="17" applyNumberFormat="0" applyAlignment="0" applyProtection="0"/>
    <xf numFmtId="0" fontId="19" fillId="15" borderId="17" applyNumberFormat="0" applyAlignment="0" applyProtection="0"/>
    <xf numFmtId="0" fontId="20" fillId="41" borderId="18" applyNumberFormat="0" applyAlignment="0" applyProtection="0"/>
    <xf numFmtId="0" fontId="20" fillId="42" borderId="18" applyNumberFormat="0" applyAlignment="0" applyProtection="0"/>
    <xf numFmtId="0" fontId="20" fillId="42" borderId="18" applyNumberFormat="0" applyAlignment="0" applyProtection="0"/>
    <xf numFmtId="0" fontId="20" fillId="41" borderId="18" applyNumberFormat="0" applyAlignment="0" applyProtection="0"/>
    <xf numFmtId="0" fontId="20" fillId="41" borderId="18" applyNumberFormat="0" applyAlignment="0" applyProtection="0"/>
    <xf numFmtId="0" fontId="21" fillId="41" borderId="17" applyNumberFormat="0" applyAlignment="0" applyProtection="0"/>
    <xf numFmtId="0" fontId="21" fillId="42" borderId="17" applyNumberFormat="0" applyAlignment="0" applyProtection="0"/>
    <xf numFmtId="0" fontId="21" fillId="42" borderId="17" applyNumberFormat="0" applyAlignment="0" applyProtection="0"/>
    <xf numFmtId="0" fontId="21" fillId="41" borderId="17" applyNumberFormat="0" applyAlignment="0" applyProtection="0"/>
    <xf numFmtId="0" fontId="21" fillId="41" borderId="17" applyNumberFormat="0" applyAlignment="0" applyProtection="0"/>
    <xf numFmtId="0" fontId="22" fillId="0" borderId="0" applyNumberFormat="0" applyFill="0" applyBorder="0" applyAlignment="0" applyProtection="0"/>
    <xf numFmtId="169" fontId="6" fillId="0" borderId="0" applyFill="0" applyBorder="0" applyAlignment="0" applyProtection="0"/>
    <xf numFmtId="0" fontId="23" fillId="0" borderId="19" applyNumberFormat="0" applyFill="0" applyAlignment="0" applyProtection="0"/>
    <xf numFmtId="0" fontId="23" fillId="0" borderId="19" applyNumberFormat="0" applyFill="0" applyAlignment="0" applyProtection="0"/>
    <xf numFmtId="0" fontId="24" fillId="0" borderId="20" applyNumberFormat="0" applyFill="0" applyAlignment="0" applyProtection="0"/>
    <xf numFmtId="0" fontId="24" fillId="0" borderId="20" applyNumberFormat="0" applyFill="0" applyAlignment="0" applyProtection="0"/>
    <xf numFmtId="0" fontId="25" fillId="0" borderId="21" applyNumberFormat="0" applyFill="0" applyAlignment="0" applyProtection="0"/>
    <xf numFmtId="0" fontId="25" fillId="0" borderId="21" applyNumberFormat="0" applyFill="0" applyAlignment="0" applyProtection="0"/>
    <xf numFmtId="0" fontId="25" fillId="0" borderId="0" applyNumberFormat="0" applyFill="0" applyBorder="0" applyAlignment="0" applyProtection="0"/>
    <xf numFmtId="0" fontId="25" fillId="0" borderId="0" applyNumberFormat="0" applyFill="0" applyBorder="0" applyAlignment="0" applyProtection="0"/>
    <xf numFmtId="0" fontId="26" fillId="0" borderId="22" applyNumberFormat="0" applyFill="0" applyAlignment="0" applyProtection="0"/>
    <xf numFmtId="0" fontId="26" fillId="0" borderId="22" applyNumberFormat="0" applyFill="0" applyAlignment="0" applyProtection="0"/>
    <xf numFmtId="0" fontId="27" fillId="43" borderId="23" applyNumberFormat="0" applyAlignment="0" applyProtection="0"/>
    <xf numFmtId="0" fontId="27" fillId="44" borderId="23" applyNumberFormat="0" applyAlignment="0" applyProtection="0"/>
    <xf numFmtId="0" fontId="27" fillId="44" borderId="23" applyNumberFormat="0" applyAlignment="0" applyProtection="0"/>
    <xf numFmtId="0" fontId="27" fillId="43" borderId="23" applyNumberFormat="0" applyAlignment="0" applyProtection="0"/>
    <xf numFmtId="0" fontId="27" fillId="43" borderId="23" applyNumberFormat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9" fillId="45" borderId="0" applyNumberFormat="0" applyBorder="0" applyAlignment="0" applyProtection="0"/>
    <xf numFmtId="0" fontId="29" fillId="46" borderId="0" applyNumberFormat="0" applyBorder="0" applyAlignment="0" applyProtection="0"/>
    <xf numFmtId="0" fontId="29" fillId="46" borderId="0" applyNumberFormat="0" applyBorder="0" applyAlignment="0" applyProtection="0"/>
    <xf numFmtId="0" fontId="29" fillId="45" borderId="0" applyNumberFormat="0" applyBorder="0" applyAlignment="0" applyProtection="0"/>
    <xf numFmtId="0" fontId="29" fillId="45" borderId="0" applyNumberFormat="0" applyBorder="0" applyAlignment="0" applyProtection="0"/>
    <xf numFmtId="0" fontId="17" fillId="0" borderId="0"/>
    <xf numFmtId="0" fontId="17" fillId="0" borderId="0"/>
    <xf numFmtId="0" fontId="1" fillId="0" borderId="0"/>
    <xf numFmtId="0" fontId="30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0" fillId="0" borderId="0"/>
    <xf numFmtId="0" fontId="6" fillId="0" borderId="0"/>
    <xf numFmtId="0" fontId="30" fillId="0" borderId="0"/>
    <xf numFmtId="0" fontId="2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7" fillId="0" borderId="0"/>
    <xf numFmtId="0" fontId="6" fillId="0" borderId="0"/>
    <xf numFmtId="0" fontId="31" fillId="0" borderId="0"/>
    <xf numFmtId="0" fontId="2" fillId="0" borderId="0"/>
    <xf numFmtId="0" fontId="30" fillId="0" borderId="0"/>
    <xf numFmtId="0" fontId="30" fillId="0" borderId="0"/>
    <xf numFmtId="0" fontId="2" fillId="0" borderId="0"/>
    <xf numFmtId="0" fontId="17" fillId="0" borderId="0"/>
    <xf numFmtId="0" fontId="6" fillId="0" borderId="0"/>
    <xf numFmtId="0" fontId="1" fillId="0" borderId="0"/>
    <xf numFmtId="0" fontId="6" fillId="0" borderId="0"/>
    <xf numFmtId="0" fontId="17" fillId="0" borderId="0"/>
    <xf numFmtId="0" fontId="30" fillId="0" borderId="0"/>
    <xf numFmtId="0" fontId="1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3" fillId="7" borderId="0" applyNumberFormat="0" applyBorder="0" applyAlignment="0" applyProtection="0"/>
    <xf numFmtId="0" fontId="33" fillId="8" borderId="0" applyNumberFormat="0" applyBorder="0" applyAlignment="0" applyProtection="0"/>
    <xf numFmtId="0" fontId="33" fillId="8" borderId="0" applyNumberFormat="0" applyBorder="0" applyAlignment="0" applyProtection="0"/>
    <xf numFmtId="0" fontId="33" fillId="7" borderId="0" applyNumberFormat="0" applyBorder="0" applyAlignment="0" applyProtection="0"/>
    <xf numFmtId="0" fontId="33" fillId="7" borderId="0" applyNumberFormat="0" applyBorder="0" applyAlignment="0" applyProtection="0"/>
    <xf numFmtId="0" fontId="34" fillId="0" borderId="0" applyNumberFormat="0" applyFill="0" applyBorder="0" applyAlignment="0" applyProtection="0"/>
    <xf numFmtId="0" fontId="34" fillId="0" borderId="0" applyNumberFormat="0" applyFill="0" applyBorder="0" applyAlignment="0" applyProtection="0"/>
    <xf numFmtId="0" fontId="2" fillId="47" borderId="24" applyNumberFormat="0" applyFont="0" applyAlignment="0" applyProtection="0"/>
    <xf numFmtId="0" fontId="6" fillId="48" borderId="24" applyNumberFormat="0" applyAlignment="0" applyProtection="0"/>
    <xf numFmtId="0" fontId="6" fillId="48" borderId="24" applyNumberFormat="0" applyAlignment="0" applyProtection="0"/>
    <xf numFmtId="0" fontId="2" fillId="47" borderId="24" applyNumberFormat="0" applyFont="0" applyAlignment="0" applyProtection="0"/>
    <xf numFmtId="0" fontId="2" fillId="47" borderId="24" applyNumberFormat="0" applyFont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9" fontId="2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9" fontId="2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0" fontId="35" fillId="0" borderId="25" applyNumberFormat="0" applyFill="0" applyAlignment="0" applyProtection="0"/>
    <xf numFmtId="0" fontId="35" fillId="0" borderId="25" applyNumberFormat="0" applyFill="0" applyAlignment="0" applyProtection="0"/>
    <xf numFmtId="0" fontId="14" fillId="0" borderId="0"/>
    <xf numFmtId="0" fontId="36" fillId="0" borderId="0" applyNumberFormat="0" applyFill="0" applyBorder="0" applyAlignment="0" applyProtection="0"/>
    <xf numFmtId="0" fontId="36" fillId="0" borderId="0" applyNumberFormat="0" applyFill="0" applyBorder="0" applyAlignment="0" applyProtection="0"/>
    <xf numFmtId="165" fontId="2" fillId="0" borderId="0" applyFont="0" applyFill="0" applyBorder="0" applyAlignment="0" applyProtection="0"/>
    <xf numFmtId="170" fontId="6" fillId="0" borderId="0" applyFill="0" applyBorder="0" applyAlignment="0" applyProtection="0"/>
    <xf numFmtId="170" fontId="6" fillId="0" borderId="0" applyFill="0" applyBorder="0" applyAlignment="0" applyProtection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170" fontId="6" fillId="0" borderId="0" applyFill="0" applyBorder="0" applyAlignment="0" applyProtection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0" fontId="37" fillId="9" borderId="0" applyNumberFormat="0" applyBorder="0" applyAlignment="0" applyProtection="0"/>
    <xf numFmtId="0" fontId="37" fillId="10" borderId="0" applyNumberFormat="0" applyBorder="0" applyAlignment="0" applyProtection="0"/>
    <xf numFmtId="0" fontId="37" fillId="10" borderId="0" applyNumberFormat="0" applyBorder="0" applyAlignment="0" applyProtection="0"/>
    <xf numFmtId="0" fontId="37" fillId="9" borderId="0" applyNumberFormat="0" applyBorder="0" applyAlignment="0" applyProtection="0"/>
    <xf numFmtId="0" fontId="37" fillId="9" borderId="0" applyNumberFormat="0" applyBorder="0" applyAlignment="0" applyProtection="0"/>
    <xf numFmtId="0" fontId="39" fillId="0" borderId="0" applyNumberFormat="0" applyFill="0" applyBorder="0" applyAlignment="0" applyProtection="0">
      <alignment vertical="top"/>
      <protection locked="0"/>
    </xf>
    <xf numFmtId="44" fontId="2" fillId="0" borderId="0" applyFont="0" applyFill="0" applyBorder="0" applyAlignment="0" applyProtection="0"/>
    <xf numFmtId="0" fontId="17" fillId="0" borderId="0"/>
    <xf numFmtId="0" fontId="6" fillId="0" borderId="0"/>
    <xf numFmtId="0" fontId="17" fillId="0" borderId="0"/>
    <xf numFmtId="0" fontId="6" fillId="0" borderId="0"/>
    <xf numFmtId="0" fontId="2" fillId="0" borderId="0"/>
    <xf numFmtId="0" fontId="17" fillId="0" borderId="0"/>
    <xf numFmtId="0" fontId="2" fillId="0" borderId="0"/>
    <xf numFmtId="0" fontId="6" fillId="0" borderId="0"/>
    <xf numFmtId="0" fontId="14" fillId="0" borderId="0"/>
    <xf numFmtId="43" fontId="2" fillId="0" borderId="0" applyFont="0" applyFill="0" applyBorder="0" applyAlignment="0" applyProtection="0"/>
    <xf numFmtId="0" fontId="17" fillId="0" borderId="0"/>
    <xf numFmtId="0" fontId="6" fillId="0" borderId="0"/>
    <xf numFmtId="0" fontId="6" fillId="0" borderId="0"/>
    <xf numFmtId="0" fontId="6" fillId="0" borderId="0"/>
    <xf numFmtId="0" fontId="32" fillId="0" borderId="0"/>
    <xf numFmtId="0" fontId="30" fillId="0" borderId="0"/>
    <xf numFmtId="0" fontId="14" fillId="0" borderId="0"/>
    <xf numFmtId="0" fontId="6" fillId="0" borderId="0"/>
    <xf numFmtId="0" fontId="6" fillId="0" borderId="0"/>
    <xf numFmtId="0" fontId="183" fillId="0" borderId="0" applyNumberFormat="0" applyFill="0" applyBorder="0" applyAlignment="0" applyProtection="0"/>
    <xf numFmtId="0" fontId="6" fillId="0" borderId="0"/>
    <xf numFmtId="0" fontId="30" fillId="0" borderId="0"/>
    <xf numFmtId="0" fontId="14" fillId="0" borderId="0"/>
    <xf numFmtId="0" fontId="17" fillId="0" borderId="0"/>
    <xf numFmtId="0" fontId="30" fillId="0" borderId="0"/>
    <xf numFmtId="0" fontId="30" fillId="0" borderId="0"/>
    <xf numFmtId="0" fontId="31" fillId="0" borderId="0" applyNumberFormat="0" applyFill="0" applyBorder="0" applyProtection="0">
      <alignment horizontal="left"/>
    </xf>
    <xf numFmtId="0" fontId="31" fillId="0" borderId="0" applyNumberFormat="0" applyFill="0" applyBorder="0" applyProtection="0">
      <alignment horizontal="left"/>
    </xf>
    <xf numFmtId="0" fontId="1" fillId="0" borderId="0"/>
    <xf numFmtId="0" fontId="222" fillId="0" borderId="0"/>
    <xf numFmtId="0" fontId="30" fillId="0" borderId="0"/>
  </cellStyleXfs>
  <cellXfs count="4768">
    <xf numFmtId="0" fontId="0" fillId="0" borderId="0" xfId="0"/>
    <xf numFmtId="0" fontId="3" fillId="0" borderId="0" xfId="1" applyFont="1" applyAlignment="1">
      <alignment vertical="center"/>
    </xf>
    <xf numFmtId="0" fontId="5" fillId="0" borderId="0" xfId="1" applyFont="1" applyAlignment="1">
      <alignment vertical="center"/>
    </xf>
    <xf numFmtId="0" fontId="3" fillId="0" borderId="0" xfId="2" applyFont="1" applyAlignment="1">
      <alignment vertical="center"/>
    </xf>
    <xf numFmtId="14" fontId="7" fillId="0" borderId="1" xfId="3" applyNumberFormat="1" applyFont="1" applyFill="1" applyBorder="1" applyAlignment="1">
      <alignment vertical="center"/>
    </xf>
    <xf numFmtId="1" fontId="3" fillId="0" borderId="0" xfId="1" applyNumberFormat="1" applyFont="1" applyBorder="1" applyAlignment="1">
      <alignment horizontal="center" vertical="center"/>
    </xf>
    <xf numFmtId="1" fontId="3" fillId="0" borderId="0" xfId="3" applyNumberFormat="1" applyFont="1" applyFill="1" applyBorder="1" applyAlignment="1">
      <alignment horizontal="center" vertical="center" wrapText="1"/>
    </xf>
    <xf numFmtId="0" fontId="3" fillId="0" borderId="6" xfId="1" applyFont="1" applyBorder="1" applyAlignment="1">
      <alignment vertical="center"/>
    </xf>
    <xf numFmtId="0" fontId="3" fillId="0" borderId="0" xfId="2" applyFont="1" applyBorder="1" applyAlignment="1">
      <alignment vertical="center"/>
    </xf>
    <xf numFmtId="0" fontId="3" fillId="0" borderId="0" xfId="1" applyFont="1" applyBorder="1" applyAlignment="1">
      <alignment vertical="center"/>
    </xf>
    <xf numFmtId="0" fontId="8" fillId="0" borderId="0" xfId="1" applyFont="1" applyBorder="1" applyAlignment="1">
      <alignment vertical="center"/>
    </xf>
    <xf numFmtId="1" fontId="12" fillId="0" borderId="0" xfId="3" applyNumberFormat="1" applyFont="1" applyFill="1" applyBorder="1" applyAlignment="1">
      <alignment horizontal="center" vertical="center"/>
    </xf>
    <xf numFmtId="0" fontId="8" fillId="0" borderId="0" xfId="1" applyFont="1" applyAlignment="1">
      <alignment vertical="center"/>
    </xf>
    <xf numFmtId="0" fontId="3" fillId="0" borderId="0" xfId="3" applyNumberFormat="1" applyFont="1" applyFill="1" applyBorder="1" applyAlignment="1">
      <alignment vertical="center" wrapText="1"/>
    </xf>
    <xf numFmtId="1" fontId="7" fillId="0" borderId="0" xfId="3" applyNumberFormat="1" applyFont="1" applyFill="1" applyBorder="1" applyAlignment="1">
      <alignment horizontal="center" vertical="center" wrapText="1"/>
    </xf>
    <xf numFmtId="0" fontId="7" fillId="0" borderId="0" xfId="1" applyFont="1" applyFill="1" applyBorder="1" applyAlignment="1">
      <alignment vertical="center" wrapText="1"/>
    </xf>
    <xf numFmtId="0" fontId="7" fillId="0" borderId="0" xfId="1" applyFont="1" applyFill="1" applyBorder="1" applyAlignment="1">
      <alignment vertical="center"/>
    </xf>
    <xf numFmtId="0" fontId="3" fillId="0" borderId="0" xfId="1" applyFont="1" applyFill="1" applyBorder="1" applyAlignment="1">
      <alignment vertical="center"/>
    </xf>
    <xf numFmtId="0" fontId="8" fillId="0" borderId="0" xfId="1" applyFont="1" applyFill="1" applyBorder="1" applyAlignment="1">
      <alignment horizontal="center" vertical="center"/>
    </xf>
    <xf numFmtId="0" fontId="3" fillId="0" borderId="0" xfId="1" applyFont="1" applyFill="1" applyBorder="1" applyAlignment="1">
      <alignment horizontal="center" vertical="center"/>
    </xf>
    <xf numFmtId="0" fontId="6" fillId="0" borderId="0" xfId="1" applyFont="1" applyAlignment="1">
      <alignment vertical="center"/>
    </xf>
    <xf numFmtId="0" fontId="2" fillId="0" borderId="0" xfId="1" applyFont="1"/>
    <xf numFmtId="1" fontId="3" fillId="0" borderId="1" xfId="362" applyNumberFormat="1" applyFont="1" applyFill="1" applyBorder="1" applyAlignment="1" applyProtection="1">
      <alignment horizontal="right" vertical="center" wrapText="1"/>
    </xf>
    <xf numFmtId="14" fontId="7" fillId="0" borderId="0" xfId="3" applyNumberFormat="1" applyFont="1" applyFill="1" applyBorder="1" applyAlignment="1">
      <alignment vertical="center"/>
    </xf>
    <xf numFmtId="0" fontId="3" fillId="0" borderId="0" xfId="1" applyFont="1" applyBorder="1" applyAlignment="1">
      <alignment horizontal="center" vertical="center" wrapText="1"/>
    </xf>
    <xf numFmtId="0" fontId="3" fillId="0" borderId="0" xfId="1" applyFont="1" applyFill="1" applyAlignment="1">
      <alignment vertical="center"/>
    </xf>
    <xf numFmtId="0" fontId="42" fillId="0" borderId="10" xfId="1" applyFont="1" applyFill="1" applyBorder="1" applyAlignment="1">
      <alignment horizontal="left" vertical="center"/>
    </xf>
    <xf numFmtId="166" fontId="40" fillId="0" borderId="10" xfId="1" applyNumberFormat="1" applyFont="1" applyBorder="1" applyAlignment="1">
      <alignment horizontal="center" vertical="center" wrapText="1"/>
    </xf>
    <xf numFmtId="166" fontId="40" fillId="0" borderId="10" xfId="1" applyNumberFormat="1" applyFont="1" applyFill="1" applyBorder="1" applyAlignment="1">
      <alignment horizontal="center" vertical="center" wrapText="1"/>
    </xf>
    <xf numFmtId="0" fontId="40" fillId="0" borderId="11" xfId="1" applyFont="1" applyFill="1" applyBorder="1" applyAlignment="1">
      <alignment horizontal="center" vertical="center"/>
    </xf>
    <xf numFmtId="0" fontId="42" fillId="0" borderId="3" xfId="1" applyFont="1" applyFill="1" applyBorder="1" applyAlignment="1">
      <alignment vertical="center"/>
    </xf>
    <xf numFmtId="166" fontId="40" fillId="0" borderId="2" xfId="1" applyNumberFormat="1" applyFont="1" applyFill="1" applyBorder="1" applyAlignment="1">
      <alignment horizontal="center" vertical="center" wrapText="1"/>
    </xf>
    <xf numFmtId="0" fontId="40" fillId="0" borderId="0" xfId="1" applyFont="1" applyBorder="1" applyAlignment="1">
      <alignment vertical="center"/>
    </xf>
    <xf numFmtId="0" fontId="40" fillId="0" borderId="0" xfId="1" applyFont="1" applyAlignment="1">
      <alignment vertical="center"/>
    </xf>
    <xf numFmtId="0" fontId="40" fillId="0" borderId="0" xfId="1" applyFont="1" applyFill="1" applyAlignment="1">
      <alignment vertical="center"/>
    </xf>
    <xf numFmtId="0" fontId="8" fillId="0" borderId="0" xfId="1" applyFont="1" applyFill="1" applyAlignment="1">
      <alignment vertical="center"/>
    </xf>
    <xf numFmtId="0" fontId="40" fillId="0" borderId="0" xfId="1" applyFont="1" applyBorder="1" applyAlignment="1">
      <alignment vertical="center" wrapText="1"/>
    </xf>
    <xf numFmtId="0" fontId="42" fillId="0" borderId="0" xfId="1" applyFont="1" applyBorder="1" applyAlignment="1">
      <alignment vertical="center" wrapText="1"/>
    </xf>
    <xf numFmtId="0" fontId="42" fillId="0" borderId="0" xfId="1" applyFont="1" applyBorder="1" applyAlignment="1">
      <alignment vertical="center"/>
    </xf>
    <xf numFmtId="0" fontId="12" fillId="0" borderId="0" xfId="1" applyFont="1" applyBorder="1" applyAlignment="1">
      <alignment vertical="center" wrapText="1"/>
    </xf>
    <xf numFmtId="0" fontId="45" fillId="0" borderId="0" xfId="1" applyFont="1" applyBorder="1" applyAlignment="1">
      <alignment horizontal="left" vertical="center" wrapText="1"/>
    </xf>
    <xf numFmtId="0" fontId="12" fillId="0" borderId="0" xfId="1" applyFont="1" applyBorder="1" applyAlignment="1">
      <alignment horizontal="left" vertical="center" wrapText="1"/>
    </xf>
    <xf numFmtId="0" fontId="42" fillId="0" borderId="0" xfId="1" applyFont="1" applyBorder="1" applyAlignment="1">
      <alignment horizontal="left" vertical="center" wrapText="1"/>
    </xf>
    <xf numFmtId="0" fontId="7" fillId="0" borderId="0" xfId="1" applyFont="1" applyAlignment="1">
      <alignment vertical="center"/>
    </xf>
    <xf numFmtId="1" fontId="8" fillId="0" borderId="0" xfId="3" applyNumberFormat="1" applyFont="1" applyFill="1" applyBorder="1" applyAlignment="1">
      <alignment horizontal="center" vertical="center" wrapText="1"/>
    </xf>
    <xf numFmtId="0" fontId="8" fillId="0" borderId="0" xfId="1" applyFont="1" applyAlignment="1">
      <alignment horizontal="left" vertical="center" wrapText="1"/>
    </xf>
    <xf numFmtId="0" fontId="40" fillId="0" borderId="0" xfId="1" applyFont="1" applyFill="1" applyAlignment="1">
      <alignment vertical="center" wrapText="1"/>
    </xf>
    <xf numFmtId="0" fontId="3" fillId="0" borderId="0" xfId="1" applyFont="1" applyAlignment="1">
      <alignment vertical="center" wrapText="1"/>
    </xf>
    <xf numFmtId="0" fontId="48" fillId="0" borderId="0" xfId="364" applyFont="1" applyFill="1" applyBorder="1" applyAlignment="1">
      <alignment vertical="center"/>
    </xf>
    <xf numFmtId="0" fontId="2" fillId="0" borderId="0" xfId="2" applyFill="1" applyBorder="1"/>
    <xf numFmtId="0" fontId="50" fillId="0" borderId="0" xfId="364" applyNumberFormat="1" applyFont="1" applyFill="1" applyBorder="1" applyAlignment="1">
      <alignment horizontal="left" vertical="center"/>
    </xf>
    <xf numFmtId="0" fontId="50" fillId="0" borderId="0" xfId="364" applyFont="1" applyFill="1" applyBorder="1" applyAlignment="1">
      <alignment horizontal="center" vertical="center"/>
    </xf>
    <xf numFmtId="0" fontId="48" fillId="0" borderId="0" xfId="364" applyFont="1" applyFill="1" applyBorder="1" applyAlignment="1">
      <alignment horizontal="left" vertical="center"/>
    </xf>
    <xf numFmtId="43" fontId="50" fillId="0" borderId="0" xfId="364" applyNumberFormat="1" applyFont="1" applyFill="1" applyBorder="1" applyAlignment="1">
      <alignment horizontal="left" vertical="center"/>
    </xf>
    <xf numFmtId="43" fontId="48" fillId="0" borderId="0" xfId="364" applyNumberFormat="1" applyFont="1" applyFill="1" applyBorder="1" applyAlignment="1">
      <alignment horizontal="left" vertical="center"/>
    </xf>
    <xf numFmtId="43" fontId="48" fillId="0" borderId="0" xfId="364" applyNumberFormat="1" applyFont="1" applyFill="1" applyBorder="1" applyAlignment="1">
      <alignment horizontal="center" vertical="center"/>
    </xf>
    <xf numFmtId="43" fontId="48" fillId="0" borderId="0" xfId="364" applyNumberFormat="1" applyFont="1" applyFill="1" applyBorder="1" applyAlignment="1">
      <alignment vertical="center"/>
    </xf>
    <xf numFmtId="1" fontId="48" fillId="0" borderId="0" xfId="364" applyNumberFormat="1" applyFont="1" applyFill="1" applyBorder="1" applyAlignment="1">
      <alignment vertical="center"/>
    </xf>
    <xf numFmtId="43" fontId="51" fillId="0" borderId="0" xfId="364" applyNumberFormat="1" applyFont="1" applyFill="1" applyBorder="1" applyAlignment="1">
      <alignment vertical="center"/>
    </xf>
    <xf numFmtId="0" fontId="52" fillId="0" borderId="0" xfId="2" applyFont="1" applyFill="1" applyBorder="1" applyAlignment="1">
      <alignment vertical="center"/>
    </xf>
    <xf numFmtId="43" fontId="53" fillId="0" borderId="0" xfId="2" applyNumberFormat="1" applyFont="1" applyFill="1" applyBorder="1" applyAlignment="1">
      <alignment vertical="center"/>
    </xf>
    <xf numFmtId="0" fontId="52" fillId="0" borderId="0" xfId="2" applyFont="1" applyFill="1" applyBorder="1" applyAlignment="1">
      <alignment horizontal="center" vertical="center" wrapText="1"/>
    </xf>
    <xf numFmtId="0" fontId="54" fillId="0" borderId="0" xfId="364" applyFont="1" applyFill="1" applyBorder="1" applyAlignment="1">
      <alignment horizontal="center" vertical="center"/>
    </xf>
    <xf numFmtId="0" fontId="49" fillId="0" borderId="0" xfId="364" applyNumberFormat="1" applyFont="1" applyFill="1" applyBorder="1" applyAlignment="1">
      <alignment horizontal="center" vertical="center"/>
    </xf>
    <xf numFmtId="0" fontId="49" fillId="0" borderId="0" xfId="364" applyFont="1" applyFill="1" applyBorder="1" applyAlignment="1">
      <alignment horizontal="center" vertical="center"/>
    </xf>
    <xf numFmtId="43" fontId="49" fillId="0" borderId="0" xfId="364" applyNumberFormat="1" applyFont="1" applyFill="1" applyBorder="1" applyAlignment="1">
      <alignment horizontal="center" vertical="center"/>
    </xf>
    <xf numFmtId="43" fontId="54" fillId="0" borderId="0" xfId="364" applyNumberFormat="1" applyFont="1" applyFill="1" applyBorder="1" applyAlignment="1">
      <alignment horizontal="center" vertical="center"/>
    </xf>
    <xf numFmtId="43" fontId="55" fillId="0" borderId="0" xfId="364" applyNumberFormat="1" applyFont="1" applyFill="1" applyBorder="1" applyAlignment="1">
      <alignment horizontal="center" vertical="center"/>
    </xf>
    <xf numFmtId="1" fontId="54" fillId="0" borderId="0" xfId="364" applyNumberFormat="1" applyFont="1" applyFill="1" applyBorder="1" applyAlignment="1">
      <alignment horizontal="center" vertical="center"/>
    </xf>
    <xf numFmtId="171" fontId="49" fillId="0" borderId="0" xfId="2" applyNumberFormat="1" applyFont="1" applyFill="1" applyBorder="1" applyAlignment="1">
      <alignment horizontal="center" vertical="center"/>
    </xf>
    <xf numFmtId="43" fontId="56" fillId="0" borderId="0" xfId="364" applyNumberFormat="1" applyFont="1" applyFill="1" applyBorder="1" applyAlignment="1">
      <alignment horizontal="center" vertical="center"/>
    </xf>
    <xf numFmtId="0" fontId="2" fillId="0" borderId="0" xfId="2" applyFont="1" applyFill="1" applyBorder="1" applyAlignment="1">
      <alignment horizontal="center" vertical="center"/>
    </xf>
    <xf numFmtId="43" fontId="53" fillId="0" borderId="0" xfId="2" applyNumberFormat="1" applyFont="1" applyFill="1" applyBorder="1" applyAlignment="1">
      <alignment horizontal="center" vertical="center"/>
    </xf>
    <xf numFmtId="1" fontId="2" fillId="0" borderId="0" xfId="2" applyNumberFormat="1" applyFont="1" applyFill="1" applyBorder="1" applyAlignment="1">
      <alignment horizontal="center" vertical="center" wrapText="1"/>
    </xf>
    <xf numFmtId="1" fontId="2" fillId="0" borderId="0" xfId="2" applyNumberFormat="1" applyFill="1" applyBorder="1" applyAlignment="1">
      <alignment horizontal="center" vertical="center" wrapText="1"/>
    </xf>
    <xf numFmtId="0" fontId="3" fillId="0" borderId="0" xfId="1" applyFont="1"/>
    <xf numFmtId="0" fontId="6" fillId="0" borderId="0" xfId="1" applyFont="1"/>
    <xf numFmtId="0" fontId="6" fillId="0" borderId="0" xfId="365" applyFont="1"/>
    <xf numFmtId="1" fontId="2" fillId="0" borderId="1" xfId="362" applyNumberFormat="1" applyFont="1" applyFill="1" applyBorder="1" applyAlignment="1" applyProtection="1">
      <alignment horizontal="right" vertical="center" wrapText="1"/>
    </xf>
    <xf numFmtId="0" fontId="57" fillId="0" borderId="1" xfId="2" applyFont="1" applyFill="1" applyBorder="1" applyAlignment="1">
      <alignment vertical="center"/>
    </xf>
    <xf numFmtId="0" fontId="6" fillId="0" borderId="0" xfId="2" applyFont="1" applyFill="1" applyBorder="1" applyAlignment="1">
      <alignment horizontal="center" vertical="center"/>
    </xf>
    <xf numFmtId="3" fontId="57" fillId="49" borderId="0" xfId="365" applyNumberFormat="1" applyFont="1" applyFill="1" applyBorder="1" applyAlignment="1">
      <alignment horizontal="center" vertical="center" wrapText="1"/>
    </xf>
    <xf numFmtId="0" fontId="2" fillId="0" borderId="0" xfId="2" applyFont="1" applyProtection="1">
      <protection locked="0"/>
    </xf>
    <xf numFmtId="0" fontId="61" fillId="0" borderId="0" xfId="2" applyFont="1" applyProtection="1">
      <protection locked="0"/>
    </xf>
    <xf numFmtId="1" fontId="62" fillId="0" borderId="1" xfId="362" applyNumberFormat="1" applyFont="1" applyFill="1" applyBorder="1" applyAlignment="1" applyProtection="1">
      <alignment horizontal="right" vertical="center" wrapText="1"/>
      <protection locked="0"/>
    </xf>
    <xf numFmtId="0" fontId="3" fillId="0" borderId="0" xfId="2" applyFont="1" applyProtection="1">
      <protection locked="0"/>
    </xf>
    <xf numFmtId="1" fontId="7" fillId="0" borderId="0" xfId="367" applyNumberFormat="1" applyFont="1" applyFill="1" applyBorder="1" applyAlignment="1" applyProtection="1">
      <alignment vertical="center" wrapText="1"/>
      <protection locked="0"/>
    </xf>
    <xf numFmtId="1" fontId="3" fillId="0" borderId="1" xfId="367" applyNumberFormat="1" applyFont="1" applyFill="1" applyBorder="1" applyAlignment="1" applyProtection="1">
      <protection locked="0"/>
    </xf>
    <xf numFmtId="14" fontId="3" fillId="0" borderId="0" xfId="2" applyNumberFormat="1" applyFont="1" applyAlignment="1" applyProtection="1">
      <protection locked="0"/>
    </xf>
    <xf numFmtId="0" fontId="3" fillId="0" borderId="6" xfId="2" applyFont="1" applyBorder="1" applyAlignment="1" applyProtection="1">
      <protection locked="0"/>
    </xf>
    <xf numFmtId="0" fontId="3" fillId="0" borderId="0" xfId="2" applyFont="1" applyAlignment="1" applyProtection="1">
      <alignment vertical="center"/>
      <protection locked="0"/>
    </xf>
    <xf numFmtId="0" fontId="61" fillId="0" borderId="0" xfId="2" applyFont="1" applyAlignment="1" applyProtection="1">
      <alignment vertical="center"/>
      <protection locked="0"/>
    </xf>
    <xf numFmtId="0" fontId="3" fillId="0" borderId="0" xfId="2" applyFont="1" applyAlignment="1" applyProtection="1">
      <protection locked="0"/>
    </xf>
    <xf numFmtId="0" fontId="7" fillId="3" borderId="29" xfId="2" applyFont="1" applyFill="1" applyBorder="1" applyAlignment="1" applyProtection="1">
      <protection locked="0"/>
    </xf>
    <xf numFmtId="0" fontId="2" fillId="0" borderId="0" xfId="2" applyFont="1" applyAlignment="1" applyProtection="1">
      <alignment vertical="center"/>
      <protection locked="0"/>
    </xf>
    <xf numFmtId="0" fontId="7" fillId="0" borderId="30" xfId="2" applyFont="1" applyFill="1" applyBorder="1" applyAlignment="1" applyProtection="1">
      <protection locked="0"/>
    </xf>
    <xf numFmtId="0" fontId="3" fillId="0" borderId="30" xfId="2" applyFont="1" applyFill="1" applyBorder="1" applyAlignment="1" applyProtection="1">
      <alignment horizontal="center"/>
      <protection locked="0"/>
    </xf>
    <xf numFmtId="0" fontId="2" fillId="0" borderId="0" xfId="2" applyFont="1" applyFill="1" applyAlignment="1" applyProtection="1">
      <alignment vertical="center"/>
      <protection locked="0"/>
    </xf>
    <xf numFmtId="0" fontId="7" fillId="3" borderId="30" xfId="2" applyFont="1" applyFill="1" applyBorder="1" applyAlignment="1" applyProtection="1">
      <protection locked="0"/>
    </xf>
    <xf numFmtId="0" fontId="3" fillId="3" borderId="30" xfId="2" applyFont="1" applyFill="1" applyBorder="1" applyAlignment="1" applyProtection="1">
      <alignment horizontal="center"/>
      <protection locked="0"/>
    </xf>
    <xf numFmtId="0" fontId="3" fillId="3" borderId="31" xfId="2" applyFont="1" applyFill="1" applyBorder="1" applyAlignment="1" applyProtection="1">
      <alignment horizontal="center"/>
      <protection locked="0"/>
    </xf>
    <xf numFmtId="0" fontId="3" fillId="0" borderId="31" xfId="2" applyFont="1" applyFill="1" applyBorder="1" applyAlignment="1" applyProtection="1">
      <alignment horizontal="center"/>
      <protection locked="0"/>
    </xf>
    <xf numFmtId="0" fontId="7" fillId="0" borderId="32" xfId="2" applyFont="1" applyFill="1" applyBorder="1" applyAlignment="1" applyProtection="1">
      <protection locked="0"/>
    </xf>
    <xf numFmtId="0" fontId="7" fillId="0" borderId="10" xfId="2" applyFont="1" applyFill="1" applyBorder="1" applyAlignment="1" applyProtection="1">
      <protection locked="0"/>
    </xf>
    <xf numFmtId="0" fontId="7" fillId="0" borderId="8" xfId="2" applyFont="1" applyFill="1" applyBorder="1" applyAlignment="1" applyProtection="1">
      <protection locked="0"/>
    </xf>
    <xf numFmtId="0" fontId="2" fillId="0" borderId="0" xfId="2" applyFont="1" applyAlignment="1" applyProtection="1">
      <protection locked="0"/>
    </xf>
    <xf numFmtId="0" fontId="7" fillId="0" borderId="9" xfId="2" applyFont="1" applyFill="1" applyBorder="1" applyAlignment="1" applyProtection="1">
      <protection locked="0"/>
    </xf>
    <xf numFmtId="0" fontId="3" fillId="0" borderId="9" xfId="2" applyFont="1" applyFill="1" applyBorder="1" applyAlignment="1" applyProtection="1">
      <alignment horizontal="center"/>
      <protection locked="0"/>
    </xf>
    <xf numFmtId="0" fontId="7" fillId="0" borderId="29" xfId="2" applyFont="1" applyFill="1" applyBorder="1" applyAlignment="1" applyProtection="1">
      <protection locked="0"/>
    </xf>
    <xf numFmtId="0" fontId="3" fillId="0" borderId="29" xfId="2" applyFont="1" applyFill="1" applyBorder="1" applyAlignment="1" applyProtection="1">
      <alignment horizontal="center"/>
      <protection locked="0"/>
    </xf>
    <xf numFmtId="0" fontId="3" fillId="0" borderId="0" xfId="2" applyFont="1" applyBorder="1" applyAlignment="1" applyProtection="1">
      <alignment horizontal="left" vertical="center" wrapText="1"/>
      <protection locked="0"/>
    </xf>
    <xf numFmtId="0" fontId="3" fillId="0" borderId="0" xfId="2" applyFont="1" applyBorder="1" applyAlignment="1" applyProtection="1">
      <alignment horizontal="center" wrapText="1"/>
      <protection locked="0"/>
    </xf>
    <xf numFmtId="0" fontId="7" fillId="0" borderId="0" xfId="2" applyFont="1" applyBorder="1" applyAlignment="1" applyProtection="1">
      <alignment vertical="center"/>
      <protection locked="0"/>
    </xf>
    <xf numFmtId="0" fontId="7" fillId="0" borderId="0" xfId="1" applyFont="1" applyAlignment="1" applyProtection="1">
      <alignment vertical="center"/>
      <protection locked="0"/>
    </xf>
    <xf numFmtId="0" fontId="3" fillId="0" borderId="0" xfId="2" applyFont="1" applyBorder="1" applyAlignment="1" applyProtection="1">
      <protection locked="0"/>
    </xf>
    <xf numFmtId="0" fontId="3" fillId="0" borderId="0" xfId="1" applyFont="1" applyBorder="1" applyAlignment="1" applyProtection="1">
      <alignment vertical="center"/>
      <protection locked="0"/>
    </xf>
    <xf numFmtId="0" fontId="3" fillId="0" borderId="0" xfId="1" applyFont="1" applyAlignment="1" applyProtection="1">
      <alignment vertical="center"/>
      <protection locked="0"/>
    </xf>
    <xf numFmtId="0" fontId="2" fillId="0" borderId="0" xfId="2" applyFont="1" applyFill="1" applyBorder="1" applyProtection="1">
      <protection locked="0"/>
    </xf>
    <xf numFmtId="0" fontId="65" fillId="0" borderId="0" xfId="1" applyFont="1" applyFill="1" applyBorder="1" applyAlignment="1" applyProtection="1">
      <alignment vertical="center" wrapText="1"/>
      <protection locked="0"/>
    </xf>
    <xf numFmtId="9" fontId="63" fillId="0" borderId="0" xfId="1" applyNumberFormat="1" applyFont="1" applyFill="1" applyBorder="1" applyAlignment="1" applyProtection="1">
      <alignment vertical="center"/>
      <protection locked="0"/>
    </xf>
    <xf numFmtId="0" fontId="61" fillId="0" borderId="0" xfId="2" applyFont="1"/>
    <xf numFmtId="0" fontId="60" fillId="0" borderId="0" xfId="1" applyFont="1" applyAlignment="1"/>
    <xf numFmtId="0" fontId="3" fillId="0" borderId="0" xfId="2" applyFont="1"/>
    <xf numFmtId="0" fontId="3" fillId="0" borderId="0" xfId="2" applyFont="1" applyBorder="1" applyAlignment="1"/>
    <xf numFmtId="0" fontId="7" fillId="0" borderId="0" xfId="2" applyFont="1" applyBorder="1" applyAlignment="1"/>
    <xf numFmtId="0" fontId="44" fillId="0" borderId="0" xfId="1" applyFont="1"/>
    <xf numFmtId="0" fontId="75" fillId="0" borderId="0" xfId="1" applyFont="1" applyAlignment="1">
      <alignment horizontal="center"/>
    </xf>
    <xf numFmtId="0" fontId="44" fillId="0" borderId="0" xfId="1" applyFont="1" applyAlignment="1">
      <alignment horizontal="right"/>
    </xf>
    <xf numFmtId="0" fontId="44" fillId="0" borderId="1" xfId="1" applyFont="1" applyBorder="1" applyAlignment="1"/>
    <xf numFmtId="0" fontId="76" fillId="2" borderId="10" xfId="1" applyFont="1" applyFill="1" applyBorder="1" applyAlignment="1">
      <alignment horizontal="center" vertical="center"/>
    </xf>
    <xf numFmtId="0" fontId="76" fillId="2" borderId="10" xfId="1" applyFont="1" applyFill="1" applyBorder="1" applyAlignment="1">
      <alignment horizontal="center" vertical="center" wrapText="1"/>
    </xf>
    <xf numFmtId="0" fontId="44" fillId="0" borderId="0" xfId="1" applyFont="1" applyAlignment="1"/>
    <xf numFmtId="0" fontId="44" fillId="0" borderId="30" xfId="1" applyFont="1" applyFill="1" applyBorder="1" applyAlignment="1"/>
    <xf numFmtId="0" fontId="44" fillId="0" borderId="30" xfId="1" applyFont="1" applyFill="1" applyBorder="1" applyAlignment="1">
      <alignment horizontal="center"/>
    </xf>
    <xf numFmtId="0" fontId="77" fillId="0" borderId="30" xfId="1" applyNumberFormat="1" applyFont="1" applyFill="1" applyBorder="1" applyAlignment="1">
      <alignment horizontal="center" vertical="center"/>
    </xf>
    <xf numFmtId="0" fontId="44" fillId="0" borderId="13" xfId="1" applyFont="1" applyFill="1" applyBorder="1" applyAlignment="1"/>
    <xf numFmtId="0" fontId="77" fillId="0" borderId="13" xfId="1" applyNumberFormat="1" applyFont="1" applyFill="1" applyBorder="1" applyAlignment="1">
      <alignment horizontal="center" vertical="center"/>
    </xf>
    <xf numFmtId="0" fontId="77" fillId="0" borderId="30" xfId="1" applyNumberFormat="1" applyFont="1" applyFill="1" applyBorder="1" applyAlignment="1">
      <alignment horizontal="center"/>
    </xf>
    <xf numFmtId="0" fontId="44" fillId="0" borderId="13" xfId="1" applyFont="1" applyFill="1" applyBorder="1" applyAlignment="1">
      <alignment horizontal="center"/>
    </xf>
    <xf numFmtId="0" fontId="77" fillId="0" borderId="13" xfId="1" applyNumberFormat="1" applyFont="1" applyFill="1" applyBorder="1" applyAlignment="1">
      <alignment horizontal="center"/>
    </xf>
    <xf numFmtId="0" fontId="44" fillId="0" borderId="13" xfId="1" applyFont="1" applyBorder="1" applyAlignment="1">
      <alignment vertical="center"/>
    </xf>
    <xf numFmtId="0" fontId="44" fillId="0" borderId="13" xfId="1" applyFont="1" applyBorder="1" applyAlignment="1">
      <alignment horizontal="center" vertical="center"/>
    </xf>
    <xf numFmtId="0" fontId="44" fillId="0" borderId="30" xfId="1" applyNumberFormat="1" applyFont="1" applyBorder="1" applyAlignment="1">
      <alignment horizontal="center"/>
    </xf>
    <xf numFmtId="0" fontId="44" fillId="0" borderId="30" xfId="1" applyFont="1" applyBorder="1" applyAlignment="1">
      <alignment vertical="center"/>
    </xf>
    <xf numFmtId="0" fontId="44" fillId="0" borderId="30" xfId="1" applyNumberFormat="1" applyFont="1" applyFill="1" applyBorder="1" applyAlignment="1">
      <alignment horizontal="center" vertical="center"/>
    </xf>
    <xf numFmtId="0" fontId="44" fillId="0" borderId="9" xfId="1" applyFont="1" applyBorder="1" applyAlignment="1">
      <alignment vertical="center"/>
    </xf>
    <xf numFmtId="0" fontId="44" fillId="0" borderId="9" xfId="1" applyNumberFormat="1" applyFont="1" applyFill="1" applyBorder="1" applyAlignment="1">
      <alignment horizontal="center" vertical="center"/>
    </xf>
    <xf numFmtId="0" fontId="44" fillId="0" borderId="30" xfId="1" applyFont="1" applyBorder="1" applyAlignment="1">
      <alignment horizontal="center" vertical="center"/>
    </xf>
    <xf numFmtId="0" fontId="44" fillId="0" borderId="30" xfId="1" applyNumberFormat="1" applyFont="1" applyBorder="1" applyAlignment="1">
      <alignment horizontal="center" vertical="center"/>
    </xf>
    <xf numFmtId="0" fontId="44" fillId="0" borderId="13" xfId="1" applyFont="1" applyBorder="1" applyAlignment="1">
      <alignment vertical="center" wrapText="1"/>
    </xf>
    <xf numFmtId="0" fontId="44" fillId="0" borderId="13" xfId="1" applyNumberFormat="1" applyFont="1" applyFill="1" applyBorder="1" applyAlignment="1">
      <alignment horizontal="center" vertical="center"/>
    </xf>
    <xf numFmtId="0" fontId="44" fillId="0" borderId="0" xfId="1" applyFont="1" applyBorder="1" applyAlignment="1">
      <alignment horizontal="left" vertical="center"/>
    </xf>
    <xf numFmtId="0" fontId="44" fillId="0" borderId="0" xfId="1" applyFont="1" applyBorder="1" applyAlignment="1">
      <alignment horizontal="center" vertical="center"/>
    </xf>
    <xf numFmtId="0" fontId="44" fillId="0" borderId="0" xfId="1" applyFont="1" applyFill="1" applyBorder="1" applyAlignment="1">
      <alignment horizontal="left" vertical="center"/>
    </xf>
    <xf numFmtId="0" fontId="44" fillId="0" borderId="0" xfId="271" applyFont="1"/>
    <xf numFmtId="0" fontId="44" fillId="0" borderId="0" xfId="271" applyFont="1" applyAlignment="1">
      <alignment vertical="center"/>
    </xf>
    <xf numFmtId="0" fontId="76" fillId="0" borderId="0" xfId="271" applyFont="1" applyAlignment="1"/>
    <xf numFmtId="0" fontId="76" fillId="0" borderId="0" xfId="1" applyFont="1" applyFill="1" applyBorder="1" applyAlignment="1">
      <alignment horizontal="center" vertical="center" wrapText="1"/>
    </xf>
    <xf numFmtId="0" fontId="76" fillId="2" borderId="10" xfId="1" applyFont="1" applyFill="1" applyBorder="1" applyAlignment="1">
      <alignment horizontal="center"/>
    </xf>
    <xf numFmtId="0" fontId="76" fillId="0" borderId="0" xfId="1" applyFont="1" applyFill="1" applyBorder="1" applyAlignment="1">
      <alignment horizontal="center" vertical="center"/>
    </xf>
    <xf numFmtId="0" fontId="44" fillId="0" borderId="2" xfId="1" applyFont="1" applyBorder="1" applyAlignment="1"/>
    <xf numFmtId="0" fontId="44" fillId="0" borderId="10" xfId="1" applyFont="1" applyBorder="1" applyAlignment="1">
      <alignment horizontal="center"/>
    </xf>
    <xf numFmtId="0" fontId="44" fillId="0" borderId="0" xfId="1" applyFont="1" applyFill="1" applyBorder="1" applyAlignment="1">
      <alignment horizontal="center" vertical="top"/>
    </xf>
    <xf numFmtId="0" fontId="44" fillId="0" borderId="2" xfId="271" applyFont="1" applyBorder="1" applyAlignment="1"/>
    <xf numFmtId="0" fontId="44" fillId="0" borderId="0" xfId="1" applyFont="1" applyFill="1"/>
    <xf numFmtId="0" fontId="44" fillId="0" borderId="0" xfId="1" applyFont="1" applyFill="1" applyBorder="1" applyAlignment="1"/>
    <xf numFmtId="0" fontId="44" fillId="0" borderId="0" xfId="1" applyFont="1" applyBorder="1" applyAlignment="1">
      <alignment vertical="center"/>
    </xf>
    <xf numFmtId="0" fontId="44" fillId="0" borderId="0" xfId="1" applyFont="1" applyBorder="1" applyAlignment="1">
      <alignment horizontal="center" vertical="top"/>
    </xf>
    <xf numFmtId="0" fontId="44" fillId="0" borderId="0" xfId="1" applyFont="1" applyBorder="1"/>
    <xf numFmtId="0" fontId="44" fillId="0" borderId="0" xfId="1" applyFont="1" applyBorder="1" applyAlignment="1"/>
    <xf numFmtId="1" fontId="44" fillId="0" borderId="10" xfId="1" applyNumberFormat="1" applyFont="1" applyBorder="1" applyAlignment="1">
      <alignment horizontal="center"/>
    </xf>
    <xf numFmtId="0" fontId="76" fillId="0" borderId="0" xfId="1" applyFont="1" applyAlignment="1">
      <alignment vertical="center" wrapText="1"/>
    </xf>
    <xf numFmtId="0" fontId="44" fillId="0" borderId="0" xfId="1" applyFont="1" applyAlignment="1">
      <alignment vertical="center"/>
    </xf>
    <xf numFmtId="0" fontId="44" fillId="0" borderId="0" xfId="1" applyFont="1" applyAlignment="1">
      <alignment vertical="center" wrapText="1"/>
    </xf>
    <xf numFmtId="0" fontId="76" fillId="0" borderId="0" xfId="1" applyFont="1" applyFill="1" applyBorder="1" applyAlignment="1">
      <alignment vertical="center" wrapText="1"/>
    </xf>
    <xf numFmtId="9" fontId="44" fillId="0" borderId="0" xfId="1" applyNumberFormat="1" applyFont="1" applyFill="1" applyBorder="1" applyAlignment="1">
      <alignment vertical="center"/>
    </xf>
    <xf numFmtId="0" fontId="57" fillId="0" borderId="0" xfId="366" applyFont="1" applyAlignment="1">
      <alignment vertical="center"/>
    </xf>
    <xf numFmtId="0" fontId="6" fillId="0" borderId="10" xfId="366" applyFont="1" applyFill="1" applyBorder="1" applyAlignment="1">
      <alignment vertical="center" wrapText="1"/>
    </xf>
    <xf numFmtId="0" fontId="6" fillId="0" borderId="2" xfId="366" applyFont="1" applyFill="1" applyBorder="1" applyAlignment="1">
      <alignment horizontal="center" vertical="center"/>
    </xf>
    <xf numFmtId="0" fontId="6" fillId="0" borderId="2" xfId="366" applyFont="1" applyFill="1" applyBorder="1" applyAlignment="1">
      <alignment vertical="center" wrapText="1"/>
    </xf>
    <xf numFmtId="0" fontId="6" fillId="0" borderId="10" xfId="366" applyFont="1" applyFill="1" applyBorder="1" applyAlignment="1">
      <alignment vertical="center"/>
    </xf>
    <xf numFmtId="0" fontId="70" fillId="0" borderId="10" xfId="366" applyFont="1" applyFill="1" applyBorder="1" applyAlignment="1">
      <alignment vertical="center"/>
    </xf>
    <xf numFmtId="0" fontId="70" fillId="0" borderId="2" xfId="366" applyFont="1" applyFill="1" applyBorder="1" applyAlignment="1">
      <alignment horizontal="center" vertical="center"/>
    </xf>
    <xf numFmtId="0" fontId="70" fillId="0" borderId="2" xfId="366" applyFont="1" applyFill="1" applyBorder="1" applyAlignment="1">
      <alignment horizontal="center" vertical="center" wrapText="1"/>
    </xf>
    <xf numFmtId="0" fontId="70" fillId="0" borderId="2" xfId="366" applyNumberFormat="1" applyFont="1" applyFill="1" applyBorder="1" applyAlignment="1">
      <alignment vertical="center"/>
    </xf>
    <xf numFmtId="3" fontId="6" fillId="0" borderId="3" xfId="366" applyNumberFormat="1" applyFont="1" applyFill="1" applyBorder="1" applyAlignment="1">
      <alignment horizontal="center" vertical="center"/>
    </xf>
    <xf numFmtId="0" fontId="70" fillId="0" borderId="46" xfId="366" applyFont="1" applyFill="1" applyBorder="1" applyAlignment="1">
      <alignment vertical="center"/>
    </xf>
    <xf numFmtId="0" fontId="6" fillId="0" borderId="47" xfId="366" applyFont="1" applyFill="1" applyBorder="1" applyAlignment="1">
      <alignment horizontal="center" vertical="center"/>
    </xf>
    <xf numFmtId="0" fontId="70" fillId="0" borderId="47" xfId="366" applyNumberFormat="1" applyFont="1" applyFill="1" applyBorder="1" applyAlignment="1">
      <alignment vertical="center"/>
    </xf>
    <xf numFmtId="3" fontId="6" fillId="0" borderId="46" xfId="366" applyNumberFormat="1" applyFont="1" applyFill="1" applyBorder="1" applyAlignment="1">
      <alignment horizontal="center" vertical="center"/>
    </xf>
    <xf numFmtId="0" fontId="70" fillId="0" borderId="9" xfId="366" applyFont="1" applyFill="1" applyBorder="1" applyAlignment="1">
      <alignment vertical="center" wrapText="1"/>
    </xf>
    <xf numFmtId="3" fontId="6" fillId="0" borderId="9" xfId="366" applyNumberFormat="1" applyFont="1" applyFill="1" applyBorder="1" applyAlignment="1">
      <alignment horizontal="center" vertical="center"/>
    </xf>
    <xf numFmtId="0" fontId="70" fillId="0" borderId="10" xfId="366" applyFont="1" applyFill="1" applyBorder="1" applyAlignment="1">
      <alignment vertical="center" wrapText="1"/>
    </xf>
    <xf numFmtId="3" fontId="6" fillId="0" borderId="10" xfId="366" applyNumberFormat="1" applyFont="1" applyFill="1" applyBorder="1" applyAlignment="1">
      <alignment horizontal="center" vertical="center" wrapText="1"/>
    </xf>
    <xf numFmtId="0" fontId="6" fillId="0" borderId="2" xfId="366" applyFont="1" applyFill="1" applyBorder="1" applyAlignment="1">
      <alignment horizontal="center" vertical="center" wrapText="1"/>
    </xf>
    <xf numFmtId="0" fontId="70" fillId="0" borderId="2" xfId="369" applyFont="1" applyFill="1" applyBorder="1" applyAlignment="1">
      <alignment horizontal="center" vertical="center" wrapText="1"/>
    </xf>
    <xf numFmtId="0" fontId="70" fillId="0" borderId="2" xfId="366" applyNumberFormat="1" applyFont="1" applyFill="1" applyBorder="1" applyAlignment="1">
      <alignment vertical="center" wrapText="1"/>
    </xf>
    <xf numFmtId="0" fontId="70" fillId="0" borderId="46" xfId="366" applyFont="1" applyFill="1" applyBorder="1" applyAlignment="1">
      <alignment vertical="center" wrapText="1"/>
    </xf>
    <xf numFmtId="0" fontId="6" fillId="0" borderId="47" xfId="366" applyFont="1" applyFill="1" applyBorder="1" applyAlignment="1">
      <alignment horizontal="center" vertical="center" wrapText="1"/>
    </xf>
    <xf numFmtId="0" fontId="70" fillId="0" borderId="47" xfId="366" applyNumberFormat="1" applyFont="1" applyFill="1" applyBorder="1" applyAlignment="1">
      <alignment vertical="center" wrapText="1"/>
    </xf>
    <xf numFmtId="0" fontId="70" fillId="0" borderId="48" xfId="369" applyFont="1" applyFill="1" applyBorder="1" applyAlignment="1">
      <alignment vertical="center" wrapText="1"/>
    </xf>
    <xf numFmtId="0" fontId="70" fillId="0" borderId="49" xfId="369" applyFont="1" applyFill="1" applyBorder="1" applyAlignment="1">
      <alignment horizontal="center" vertical="center" wrapText="1"/>
    </xf>
    <xf numFmtId="0" fontId="70" fillId="0" borderId="10" xfId="369" applyFont="1" applyFill="1" applyBorder="1" applyAlignment="1">
      <alignment vertical="center" wrapText="1"/>
    </xf>
    <xf numFmtId="3" fontId="6" fillId="0" borderId="10" xfId="369" applyNumberFormat="1" applyFont="1" applyFill="1" applyBorder="1" applyAlignment="1">
      <alignment horizontal="center" vertical="center" wrapText="1"/>
    </xf>
    <xf numFmtId="0" fontId="70" fillId="0" borderId="2" xfId="369" applyFont="1" applyFill="1" applyBorder="1" applyAlignment="1">
      <alignment vertical="center" wrapText="1"/>
    </xf>
    <xf numFmtId="0" fontId="70" fillId="0" borderId="2" xfId="369" applyFont="1" applyFill="1" applyBorder="1" applyAlignment="1">
      <alignment horizontal="left" vertical="center"/>
    </xf>
    <xf numFmtId="0" fontId="70" fillId="0" borderId="2" xfId="369" applyFont="1" applyFill="1" applyBorder="1" applyAlignment="1">
      <alignment horizontal="center" vertical="center"/>
    </xf>
    <xf numFmtId="0" fontId="6" fillId="0" borderId="10" xfId="369" applyFont="1" applyFill="1" applyBorder="1" applyAlignment="1">
      <alignment vertical="center" wrapText="1"/>
    </xf>
    <xf numFmtId="0" fontId="6" fillId="0" borderId="2" xfId="369" applyFont="1" applyFill="1" applyBorder="1" applyAlignment="1">
      <alignment horizontal="center" vertical="center" wrapText="1"/>
    </xf>
    <xf numFmtId="0" fontId="6" fillId="0" borderId="3" xfId="369" applyFont="1" applyFill="1" applyBorder="1" applyAlignment="1">
      <alignment vertical="center" wrapText="1"/>
    </xf>
    <xf numFmtId="3" fontId="6" fillId="0" borderId="10" xfId="2" applyNumberFormat="1" applyFont="1" applyFill="1" applyBorder="1" applyAlignment="1">
      <alignment horizontal="center" vertical="center" wrapText="1"/>
    </xf>
    <xf numFmtId="3" fontId="6" fillId="0" borderId="48" xfId="366" applyNumberFormat="1" applyFont="1" applyFill="1" applyBorder="1" applyAlignment="1">
      <alignment horizontal="center" vertical="center"/>
    </xf>
    <xf numFmtId="0" fontId="70" fillId="0" borderId="46" xfId="369" applyFont="1" applyFill="1" applyBorder="1" applyAlignment="1">
      <alignment vertical="center" wrapText="1"/>
    </xf>
    <xf numFmtId="0" fontId="70" fillId="0" borderId="46" xfId="369" applyFont="1" applyFill="1" applyBorder="1" applyAlignment="1">
      <alignment horizontal="center" vertical="center" wrapText="1"/>
    </xf>
    <xf numFmtId="0" fontId="70" fillId="0" borderId="0" xfId="366" applyFont="1" applyFill="1" applyBorder="1" applyAlignment="1">
      <alignment vertical="center" wrapText="1"/>
    </xf>
    <xf numFmtId="0" fontId="70" fillId="0" borderId="0" xfId="366" applyFont="1" applyFill="1" applyBorder="1" applyAlignment="1">
      <alignment vertical="center"/>
    </xf>
    <xf numFmtId="0" fontId="6" fillId="0" borderId="0" xfId="366" applyFont="1" applyFill="1" applyBorder="1" applyAlignment="1">
      <alignment horizontal="center" vertical="center" wrapText="1"/>
    </xf>
    <xf numFmtId="0" fontId="70" fillId="0" borderId="0" xfId="366" applyFont="1" applyFill="1" applyBorder="1" applyAlignment="1">
      <alignment horizontal="center" vertical="center" wrapText="1"/>
    </xf>
    <xf numFmtId="0" fontId="70" fillId="0" borderId="0" xfId="366" applyFont="1" applyFill="1" applyBorder="1" applyAlignment="1">
      <alignment horizontal="center" vertical="center"/>
    </xf>
    <xf numFmtId="0" fontId="70" fillId="0" borderId="0" xfId="366" applyFont="1" applyFill="1" applyAlignment="1">
      <alignment vertical="center"/>
    </xf>
    <xf numFmtId="0" fontId="6" fillId="0" borderId="0" xfId="1" applyFont="1" applyFill="1" applyAlignment="1">
      <alignment vertical="center"/>
    </xf>
    <xf numFmtId="0" fontId="71" fillId="0" borderId="0" xfId="366" applyFont="1" applyFill="1" applyAlignment="1">
      <alignment vertical="center"/>
    </xf>
    <xf numFmtId="0" fontId="6" fillId="0" borderId="2" xfId="369" applyFont="1" applyFill="1" applyBorder="1" applyAlignment="1">
      <alignment vertical="center" wrapText="1"/>
    </xf>
    <xf numFmtId="0" fontId="6" fillId="0" borderId="8" xfId="369" applyFont="1" applyFill="1" applyBorder="1" applyAlignment="1">
      <alignment vertical="center" wrapText="1"/>
    </xf>
    <xf numFmtId="0" fontId="70" fillId="0" borderId="47" xfId="369" applyFont="1" applyFill="1" applyBorder="1" applyAlignment="1">
      <alignment horizontal="center" vertical="center" wrapText="1"/>
    </xf>
    <xf numFmtId="0" fontId="70" fillId="0" borderId="47" xfId="369" applyFont="1" applyFill="1" applyBorder="1" applyAlignment="1">
      <alignment vertical="center" wrapText="1"/>
    </xf>
    <xf numFmtId="3" fontId="6" fillId="0" borderId="50" xfId="366" applyNumberFormat="1" applyFont="1" applyFill="1" applyBorder="1" applyAlignment="1">
      <alignment horizontal="center" vertical="center"/>
    </xf>
    <xf numFmtId="0" fontId="6" fillId="0" borderId="48" xfId="366" applyFont="1" applyFill="1" applyBorder="1" applyAlignment="1">
      <alignment vertical="center"/>
    </xf>
    <xf numFmtId="0" fontId="6" fillId="0" borderId="49" xfId="366" applyFont="1" applyFill="1" applyBorder="1" applyAlignment="1">
      <alignment horizontal="center" vertical="center"/>
    </xf>
    <xf numFmtId="0" fontId="6" fillId="0" borderId="49" xfId="366" applyFont="1" applyFill="1" applyBorder="1" applyAlignment="1">
      <alignment vertical="center" wrapText="1"/>
    </xf>
    <xf numFmtId="0" fontId="6" fillId="0" borderId="46" xfId="366" applyFont="1" applyFill="1" applyBorder="1" applyAlignment="1">
      <alignment horizontal="left" vertical="center"/>
    </xf>
    <xf numFmtId="0" fontId="6" fillId="0" borderId="47" xfId="366" applyFont="1" applyFill="1" applyBorder="1" applyAlignment="1">
      <alignment vertical="center" wrapText="1"/>
    </xf>
    <xf numFmtId="0" fontId="6" fillId="0" borderId="9" xfId="366" applyFont="1" applyFill="1" applyBorder="1" applyAlignment="1">
      <alignment vertical="center"/>
    </xf>
    <xf numFmtId="0" fontId="6" fillId="0" borderId="15" xfId="366" applyFont="1" applyFill="1" applyBorder="1" applyAlignment="1">
      <alignment horizontal="center" vertical="center"/>
    </xf>
    <xf numFmtId="0" fontId="70" fillId="0" borderId="48" xfId="366" applyFont="1" applyFill="1" applyBorder="1" applyAlignment="1">
      <alignment vertical="center"/>
    </xf>
    <xf numFmtId="0" fontId="70" fillId="0" borderId="49" xfId="366" applyFont="1" applyFill="1" applyBorder="1" applyAlignment="1">
      <alignment horizontal="center" vertical="center"/>
    </xf>
    <xf numFmtId="0" fontId="6" fillId="0" borderId="46" xfId="366" applyFont="1" applyFill="1" applyBorder="1" applyAlignment="1">
      <alignment vertical="center"/>
    </xf>
    <xf numFmtId="0" fontId="70" fillId="0" borderId="47" xfId="366" applyFont="1" applyFill="1" applyBorder="1" applyAlignment="1">
      <alignment horizontal="center" vertical="center"/>
    </xf>
    <xf numFmtId="0" fontId="6" fillId="0" borderId="48" xfId="366" applyFont="1" applyFill="1" applyBorder="1" applyAlignment="1">
      <alignment vertical="center" wrapText="1"/>
    </xf>
    <xf numFmtId="0" fontId="6" fillId="0" borderId="46" xfId="366" applyFont="1" applyFill="1" applyBorder="1" applyAlignment="1">
      <alignment vertical="center" wrapText="1"/>
    </xf>
    <xf numFmtId="0" fontId="6" fillId="0" borderId="8" xfId="366" applyFont="1" applyFill="1" applyBorder="1" applyAlignment="1">
      <alignment horizontal="left" vertical="center" wrapText="1"/>
    </xf>
    <xf numFmtId="0" fontId="70" fillId="0" borderId="2" xfId="366" applyFont="1" applyFill="1" applyBorder="1" applyAlignment="1">
      <alignment vertical="center" wrapText="1"/>
    </xf>
    <xf numFmtId="0" fontId="70" fillId="0" borderId="10" xfId="366" applyFont="1" applyFill="1" applyBorder="1" applyAlignment="1">
      <alignment horizontal="left" vertical="center" wrapText="1"/>
    </xf>
    <xf numFmtId="0" fontId="70" fillId="0" borderId="10" xfId="366" applyFont="1" applyFill="1" applyBorder="1" applyAlignment="1">
      <alignment horizontal="center" vertical="center" wrapText="1"/>
    </xf>
    <xf numFmtId="0" fontId="70" fillId="0" borderId="10" xfId="366" applyFont="1" applyFill="1" applyBorder="1" applyAlignment="1">
      <alignment horizontal="left" vertical="center"/>
    </xf>
    <xf numFmtId="0" fontId="6" fillId="0" borderId="15" xfId="366" applyFont="1" applyFill="1" applyBorder="1" applyAlignment="1">
      <alignment vertical="center" wrapText="1"/>
    </xf>
    <xf numFmtId="1" fontId="44" fillId="0" borderId="0" xfId="362" applyNumberFormat="1" applyFont="1" applyFill="1" applyBorder="1" applyAlignment="1" applyProtection="1">
      <alignment horizontal="right" vertical="center" wrapText="1"/>
    </xf>
    <xf numFmtId="0" fontId="44" fillId="0" borderId="29" xfId="2" applyFont="1" applyFill="1" applyBorder="1" applyAlignment="1">
      <alignment vertical="center"/>
    </xf>
    <xf numFmtId="0" fontId="44" fillId="0" borderId="36" xfId="2" applyFont="1" applyFill="1" applyBorder="1" applyAlignment="1">
      <alignment horizontal="center" vertical="center"/>
    </xf>
    <xf numFmtId="0" fontId="44" fillId="0" borderId="30" xfId="2" applyFont="1" applyFill="1" applyBorder="1" applyAlignment="1">
      <alignment vertical="center"/>
    </xf>
    <xf numFmtId="0" fontId="44" fillId="0" borderId="32" xfId="2" applyFont="1" applyFill="1" applyBorder="1" applyAlignment="1">
      <alignment horizontal="center" vertical="center"/>
    </xf>
    <xf numFmtId="0" fontId="44" fillId="0" borderId="32" xfId="2" applyFont="1" applyFill="1" applyBorder="1" applyAlignment="1">
      <alignment vertical="center"/>
    </xf>
    <xf numFmtId="0" fontId="44" fillId="0" borderId="32" xfId="6" applyFont="1" applyFill="1" applyBorder="1" applyAlignment="1">
      <alignment horizontal="center" vertical="center"/>
    </xf>
    <xf numFmtId="0" fontId="44" fillId="0" borderId="6" xfId="6" applyFont="1" applyFill="1" applyBorder="1" applyAlignment="1">
      <alignment horizontal="center" vertical="center"/>
    </xf>
    <xf numFmtId="0" fontId="44" fillId="0" borderId="30" xfId="2" applyFont="1" applyFill="1" applyBorder="1" applyAlignment="1">
      <alignment horizontal="center" vertical="center"/>
    </xf>
    <xf numFmtId="0" fontId="44" fillId="0" borderId="9" xfId="2" applyFont="1" applyFill="1" applyBorder="1" applyAlignment="1">
      <alignment horizontal="center" vertical="center"/>
    </xf>
    <xf numFmtId="0" fontId="44" fillId="0" borderId="7" xfId="2" applyFont="1" applyFill="1" applyBorder="1" applyAlignment="1">
      <alignment vertical="center"/>
    </xf>
    <xf numFmtId="17" fontId="44" fillId="0" borderId="6" xfId="2" applyNumberFormat="1" applyFont="1" applyFill="1" applyBorder="1" applyAlignment="1">
      <alignment horizontal="center" vertical="center"/>
    </xf>
    <xf numFmtId="0" fontId="88" fillId="0" borderId="7" xfId="2" applyNumberFormat="1" applyFont="1" applyFill="1" applyBorder="1" applyAlignment="1">
      <alignment horizontal="center" vertical="center"/>
    </xf>
    <xf numFmtId="0" fontId="44" fillId="0" borderId="31" xfId="2" applyFont="1" applyFill="1" applyBorder="1" applyAlignment="1">
      <alignment vertical="center"/>
    </xf>
    <xf numFmtId="0" fontId="44" fillId="0" borderId="37" xfId="2" applyFont="1" applyFill="1" applyBorder="1" applyAlignment="1">
      <alignment horizontal="center" vertical="center"/>
    </xf>
    <xf numFmtId="0" fontId="44" fillId="0" borderId="37" xfId="6" applyFont="1" applyFill="1" applyBorder="1" applyAlignment="1">
      <alignment horizontal="center" vertical="center"/>
    </xf>
    <xf numFmtId="0" fontId="88" fillId="0" borderId="31" xfId="2" applyNumberFormat="1" applyFont="1" applyFill="1" applyBorder="1" applyAlignment="1">
      <alignment horizontal="center" vertical="center"/>
    </xf>
    <xf numFmtId="0" fontId="44" fillId="0" borderId="6" xfId="2" applyFont="1" applyFill="1" applyBorder="1" applyAlignment="1">
      <alignment horizontal="center" vertical="center"/>
    </xf>
    <xf numFmtId="0" fontId="44" fillId="0" borderId="30" xfId="6" applyFont="1" applyFill="1" applyBorder="1" applyAlignment="1">
      <alignment horizontal="center" vertical="center"/>
    </xf>
    <xf numFmtId="0" fontId="88" fillId="0" borderId="30" xfId="2" applyNumberFormat="1" applyFont="1" applyFill="1" applyBorder="1" applyAlignment="1">
      <alignment horizontal="center" vertical="center"/>
    </xf>
    <xf numFmtId="0" fontId="44" fillId="0" borderId="36" xfId="6" applyFont="1" applyFill="1" applyBorder="1" applyAlignment="1">
      <alignment horizontal="center" vertical="center"/>
    </xf>
    <xf numFmtId="0" fontId="88" fillId="0" borderId="29" xfId="2" applyNumberFormat="1" applyFont="1" applyFill="1" applyBorder="1" applyAlignment="1">
      <alignment horizontal="center" vertical="center"/>
    </xf>
    <xf numFmtId="1" fontId="88" fillId="0" borderId="30" xfId="2" applyNumberFormat="1" applyFont="1" applyFill="1" applyBorder="1" applyAlignment="1">
      <alignment horizontal="center" vertical="center"/>
    </xf>
    <xf numFmtId="0" fontId="44" fillId="0" borderId="7" xfId="2" applyFont="1" applyFill="1" applyBorder="1" applyAlignment="1">
      <alignment horizontal="center" vertical="center"/>
    </xf>
    <xf numFmtId="0" fontId="88" fillId="0" borderId="39" xfId="2" applyNumberFormat="1" applyFont="1" applyFill="1" applyBorder="1" applyAlignment="1">
      <alignment horizontal="center" vertical="center"/>
    </xf>
    <xf numFmtId="0" fontId="44" fillId="0" borderId="9" xfId="2" applyFont="1" applyFill="1" applyBorder="1" applyAlignment="1">
      <alignment vertical="center"/>
    </xf>
    <xf numFmtId="0" fontId="44" fillId="0" borderId="9" xfId="6" applyFont="1" applyFill="1" applyBorder="1" applyAlignment="1">
      <alignment horizontal="center" vertical="center"/>
    </xf>
    <xf numFmtId="0" fontId="88" fillId="0" borderId="9" xfId="2" applyNumberFormat="1" applyFont="1" applyFill="1" applyBorder="1" applyAlignment="1">
      <alignment horizontal="center" vertical="center"/>
    </xf>
    <xf numFmtId="0" fontId="89" fillId="0" borderId="0" xfId="366" applyFont="1"/>
    <xf numFmtId="0" fontId="90" fillId="0" borderId="0" xfId="366" applyFont="1"/>
    <xf numFmtId="0" fontId="90" fillId="0" borderId="0" xfId="366" applyFont="1" applyBorder="1"/>
    <xf numFmtId="1" fontId="92" fillId="0" borderId="1" xfId="362" applyNumberFormat="1" applyFont="1" applyFill="1" applyBorder="1" applyAlignment="1" applyProtection="1">
      <alignment horizontal="right" vertical="center" wrapText="1"/>
    </xf>
    <xf numFmtId="0" fontId="93" fillId="0" borderId="0" xfId="366" applyFont="1" applyAlignment="1">
      <alignment vertical="center"/>
    </xf>
    <xf numFmtId="0" fontId="94" fillId="0" borderId="0" xfId="366" applyFont="1"/>
    <xf numFmtId="0" fontId="94" fillId="0" borderId="1" xfId="366" applyNumberFormat="1" applyFont="1" applyBorder="1" applyAlignment="1"/>
    <xf numFmtId="0" fontId="94" fillId="0" borderId="1" xfId="366" applyFont="1" applyBorder="1" applyAlignment="1"/>
    <xf numFmtId="0" fontId="94" fillId="0" borderId="1" xfId="366" applyFont="1" applyBorder="1" applyAlignment="1">
      <alignment horizontal="right"/>
    </xf>
    <xf numFmtId="0" fontId="95" fillId="2" borderId="10" xfId="366" applyFont="1" applyFill="1" applyBorder="1" applyAlignment="1">
      <alignment horizontal="center" vertical="center"/>
    </xf>
    <xf numFmtId="0" fontId="89" fillId="0" borderId="10" xfId="366" applyFont="1" applyBorder="1"/>
    <xf numFmtId="0" fontId="94" fillId="0" borderId="10" xfId="366" applyFont="1" applyBorder="1"/>
    <xf numFmtId="0" fontId="97" fillId="0" borderId="10" xfId="366" applyFont="1" applyFill="1" applyBorder="1"/>
    <xf numFmtId="0" fontId="97" fillId="0" borderId="0" xfId="366" applyFont="1" applyFill="1"/>
    <xf numFmtId="0" fontId="94" fillId="0" borderId="3" xfId="366" applyFont="1" applyBorder="1" applyAlignment="1"/>
    <xf numFmtId="0" fontId="94" fillId="0" borderId="9" xfId="366" applyFont="1" applyBorder="1" applyAlignment="1"/>
    <xf numFmtId="0" fontId="89" fillId="0" borderId="0" xfId="366" applyFont="1" applyBorder="1"/>
    <xf numFmtId="0" fontId="96" fillId="0" borderId="0" xfId="1" applyFont="1" applyAlignment="1">
      <alignment vertical="center"/>
    </xf>
    <xf numFmtId="0" fontId="97" fillId="0" borderId="0" xfId="366" applyFont="1"/>
    <xf numFmtId="0" fontId="3" fillId="0" borderId="0" xfId="1" applyFont="1" applyBorder="1" applyAlignment="1">
      <alignment horizontal="left" vertical="center" wrapText="1"/>
    </xf>
    <xf numFmtId="0" fontId="98" fillId="0" borderId="0" xfId="2" applyFont="1" applyBorder="1" applyAlignment="1">
      <alignment horizontal="left"/>
    </xf>
    <xf numFmtId="0" fontId="3" fillId="0" borderId="0" xfId="1" applyNumberFormat="1" applyFont="1" applyBorder="1" applyAlignment="1">
      <alignment horizontal="left" vertical="center" wrapText="1"/>
    </xf>
    <xf numFmtId="174" fontId="3" fillId="0" borderId="0" xfId="1" applyNumberFormat="1" applyFont="1" applyBorder="1" applyAlignment="1">
      <alignment horizontal="left" vertical="center" wrapText="1"/>
    </xf>
    <xf numFmtId="0" fontId="96" fillId="0" borderId="0" xfId="2" applyFont="1" applyBorder="1" applyAlignment="1">
      <alignment horizontal="left"/>
    </xf>
    <xf numFmtId="0" fontId="3" fillId="0" borderId="0" xfId="1" applyFont="1" applyBorder="1" applyAlignment="1">
      <alignment wrapText="1"/>
    </xf>
    <xf numFmtId="0" fontId="94" fillId="0" borderId="0" xfId="366" applyNumberFormat="1" applyFont="1"/>
    <xf numFmtId="173" fontId="94" fillId="0" borderId="0" xfId="366" applyNumberFormat="1" applyFont="1"/>
    <xf numFmtId="174" fontId="94" fillId="0" borderId="0" xfId="366" applyNumberFormat="1" applyFont="1"/>
    <xf numFmtId="0" fontId="89" fillId="0" borderId="0" xfId="366" applyNumberFormat="1" applyFont="1"/>
    <xf numFmtId="173" fontId="89" fillId="0" borderId="0" xfId="366" applyNumberFormat="1" applyFont="1"/>
    <xf numFmtId="174" fontId="89" fillId="0" borderId="0" xfId="366" applyNumberFormat="1" applyFont="1"/>
    <xf numFmtId="0" fontId="98" fillId="0" borderId="0" xfId="1" applyFont="1" applyFill="1" applyBorder="1" applyAlignment="1">
      <alignment vertical="center" wrapText="1"/>
    </xf>
    <xf numFmtId="174" fontId="98" fillId="0" borderId="0" xfId="1" applyNumberFormat="1" applyFont="1" applyFill="1" applyBorder="1" applyAlignment="1">
      <alignment vertical="center" wrapText="1"/>
    </xf>
    <xf numFmtId="173" fontId="89" fillId="0" borderId="0" xfId="366" applyNumberFormat="1" applyFont="1" applyBorder="1" applyAlignment="1"/>
    <xf numFmtId="9" fontId="100" fillId="0" borderId="0" xfId="1" applyNumberFormat="1" applyFont="1" applyFill="1" applyBorder="1" applyAlignment="1">
      <alignment vertical="center"/>
    </xf>
    <xf numFmtId="174" fontId="100" fillId="0" borderId="0" xfId="1" applyNumberFormat="1" applyFont="1" applyFill="1" applyBorder="1" applyAlignment="1">
      <alignment vertical="center"/>
    </xf>
    <xf numFmtId="1" fontId="101" fillId="0" borderId="1" xfId="362" applyNumberFormat="1" applyFont="1" applyFill="1" applyBorder="1" applyAlignment="1" applyProtection="1">
      <alignment horizontal="right" vertical="center" wrapText="1"/>
    </xf>
    <xf numFmtId="0" fontId="95" fillId="0" borderId="0" xfId="366" applyFont="1" applyAlignment="1">
      <alignment vertical="center"/>
    </xf>
    <xf numFmtId="0" fontId="97" fillId="0" borderId="0" xfId="366" applyFont="1" applyAlignment="1">
      <alignment horizontal="center" vertical="center" wrapText="1"/>
    </xf>
    <xf numFmtId="0" fontId="102" fillId="0" borderId="1" xfId="366" applyFont="1" applyBorder="1" applyAlignment="1">
      <alignment horizontal="right"/>
    </xf>
    <xf numFmtId="0" fontId="103" fillId="2" borderId="10" xfId="366" applyFont="1" applyFill="1" applyBorder="1" applyAlignment="1">
      <alignment horizontal="center" vertical="center"/>
    </xf>
    <xf numFmtId="0" fontId="103" fillId="2" borderId="10" xfId="366" applyFont="1" applyFill="1" applyBorder="1" applyAlignment="1">
      <alignment horizontal="center" vertical="center" wrapText="1"/>
    </xf>
    <xf numFmtId="0" fontId="103" fillId="0" borderId="10" xfId="366" applyFont="1" applyBorder="1" applyAlignment="1">
      <alignment horizontal="center" vertical="center" wrapText="1"/>
    </xf>
    <xf numFmtId="0" fontId="102" fillId="0" borderId="10" xfId="366" applyFont="1" applyBorder="1" applyAlignment="1">
      <alignment horizontal="center" vertical="center"/>
    </xf>
    <xf numFmtId="3" fontId="102" fillId="0" borderId="10" xfId="366" applyNumberFormat="1" applyFont="1" applyBorder="1" applyAlignment="1">
      <alignment horizontal="center" vertical="center"/>
    </xf>
    <xf numFmtId="0" fontId="103" fillId="0" borderId="10" xfId="366" applyFont="1" applyBorder="1" applyAlignment="1">
      <alignment horizontal="center" vertical="center"/>
    </xf>
    <xf numFmtId="0" fontId="103" fillId="0" borderId="2" xfId="366" applyFont="1" applyBorder="1" applyAlignment="1">
      <alignment vertical="center" wrapText="1"/>
    </xf>
    <xf numFmtId="3" fontId="100" fillId="0" borderId="10" xfId="366" applyNumberFormat="1" applyFont="1" applyBorder="1" applyAlignment="1">
      <alignment horizontal="center" vertical="center"/>
    </xf>
    <xf numFmtId="0" fontId="102" fillId="0" borderId="2" xfId="366" applyFont="1" applyBorder="1" applyAlignment="1">
      <alignment vertical="top" wrapText="1"/>
    </xf>
    <xf numFmtId="0" fontId="102" fillId="0" borderId="5" xfId="366" applyFont="1" applyBorder="1" applyAlignment="1">
      <alignment vertical="top" wrapText="1"/>
    </xf>
    <xf numFmtId="0" fontId="1" fillId="0" borderId="10" xfId="279" applyBorder="1" applyAlignment="1"/>
    <xf numFmtId="0" fontId="102" fillId="0" borderId="10" xfId="366" applyFont="1" applyFill="1" applyBorder="1" applyAlignment="1">
      <alignment horizontal="center" vertical="center"/>
    </xf>
    <xf numFmtId="0" fontId="100" fillId="0" borderId="2" xfId="2" applyNumberFormat="1" applyFont="1" applyFill="1" applyBorder="1" applyAlignment="1">
      <alignment horizontal="center" vertical="center"/>
    </xf>
    <xf numFmtId="0" fontId="96" fillId="0" borderId="0" xfId="2" applyFont="1" applyFill="1" applyBorder="1" applyAlignment="1">
      <alignment horizontal="left" vertical="center"/>
    </xf>
    <xf numFmtId="0" fontId="96" fillId="0" borderId="0" xfId="2" applyNumberFormat="1" applyFont="1" applyFill="1" applyBorder="1" applyAlignment="1">
      <alignment horizontal="center" vertical="center"/>
    </xf>
    <xf numFmtId="0" fontId="97" fillId="0" borderId="0" xfId="366" applyFont="1" applyBorder="1"/>
    <xf numFmtId="0" fontId="106" fillId="0" borderId="0" xfId="370" applyFont="1"/>
    <xf numFmtId="0" fontId="98" fillId="0" borderId="0" xfId="1" applyFont="1" applyAlignment="1">
      <alignment vertical="center"/>
    </xf>
    <xf numFmtId="0" fontId="93" fillId="0" borderId="0" xfId="366" applyFont="1"/>
    <xf numFmtId="0" fontId="95" fillId="0" borderId="0" xfId="366" applyFont="1"/>
    <xf numFmtId="0" fontId="106" fillId="0" borderId="0" xfId="1" applyFont="1" applyAlignment="1">
      <alignment vertical="center"/>
    </xf>
    <xf numFmtId="0" fontId="106" fillId="0" borderId="0" xfId="1" applyFont="1" applyAlignment="1">
      <alignment horizontal="center" vertical="center" wrapText="1"/>
    </xf>
    <xf numFmtId="0" fontId="111" fillId="0" borderId="0" xfId="1" applyFont="1" applyFill="1" applyBorder="1" applyAlignment="1">
      <alignment vertical="center"/>
    </xf>
    <xf numFmtId="0" fontId="89" fillId="0" borderId="0" xfId="366" applyFont="1" applyAlignment="1">
      <alignment horizontal="center" vertical="center" wrapText="1"/>
    </xf>
    <xf numFmtId="0" fontId="112" fillId="0" borderId="0" xfId="366" applyFont="1"/>
    <xf numFmtId="0" fontId="112" fillId="0" borderId="0" xfId="366" applyFont="1" applyAlignment="1">
      <alignment horizontal="center" vertical="center" wrapText="1"/>
    </xf>
    <xf numFmtId="0" fontId="31" fillId="0" borderId="0" xfId="271" applyFont="1"/>
    <xf numFmtId="0" fontId="61" fillId="0" borderId="0" xfId="271" applyFont="1"/>
    <xf numFmtId="0" fontId="83" fillId="0" borderId="0" xfId="1" applyFont="1" applyAlignment="1"/>
    <xf numFmtId="1" fontId="113" fillId="0" borderId="1" xfId="362" applyNumberFormat="1" applyFont="1" applyFill="1" applyBorder="1" applyAlignment="1" applyProtection="1">
      <alignment vertical="center" wrapText="1"/>
    </xf>
    <xf numFmtId="0" fontId="113" fillId="0" borderId="0" xfId="271" applyFont="1" applyAlignment="1">
      <alignment vertical="center"/>
    </xf>
    <xf numFmtId="1" fontId="113" fillId="0" borderId="1" xfId="371" applyNumberFormat="1" applyFont="1" applyFill="1" applyBorder="1" applyAlignment="1"/>
    <xf numFmtId="0" fontId="114" fillId="0" borderId="0" xfId="271" applyFont="1" applyFill="1" applyBorder="1" applyAlignment="1">
      <alignment vertical="center" wrapText="1"/>
    </xf>
    <xf numFmtId="0" fontId="31" fillId="0" borderId="0" xfId="271" applyFont="1" applyFill="1" applyBorder="1"/>
    <xf numFmtId="0" fontId="114" fillId="2" borderId="2" xfId="271" applyFont="1" applyFill="1" applyBorder="1" applyAlignment="1">
      <alignment horizontal="center" wrapText="1"/>
    </xf>
    <xf numFmtId="0" fontId="114" fillId="2" borderId="10" xfId="271" applyFont="1" applyFill="1" applyBorder="1" applyAlignment="1">
      <alignment horizontal="center" wrapText="1"/>
    </xf>
    <xf numFmtId="0" fontId="114" fillId="0" borderId="0" xfId="271" applyFont="1" applyFill="1" applyBorder="1" applyAlignment="1">
      <alignment horizontal="center" vertical="center" wrapText="1"/>
    </xf>
    <xf numFmtId="0" fontId="114" fillId="0" borderId="10" xfId="271" applyFont="1" applyBorder="1" applyAlignment="1">
      <alignment vertical="center"/>
    </xf>
    <xf numFmtId="0" fontId="113" fillId="0" borderId="10" xfId="271" applyFont="1" applyBorder="1" applyAlignment="1">
      <alignment vertical="center"/>
    </xf>
    <xf numFmtId="1" fontId="113" fillId="0" borderId="10" xfId="271" applyNumberFormat="1" applyFont="1" applyBorder="1" applyAlignment="1">
      <alignment horizontal="center" vertical="center"/>
    </xf>
    <xf numFmtId="0" fontId="113" fillId="0" borderId="10" xfId="271" applyNumberFormat="1" applyFont="1" applyFill="1" applyBorder="1" applyAlignment="1">
      <alignment horizontal="center" vertical="center"/>
    </xf>
    <xf numFmtId="1" fontId="113" fillId="0" borderId="0" xfId="271" applyNumberFormat="1" applyFont="1" applyFill="1" applyBorder="1" applyAlignment="1">
      <alignment horizontal="center" vertical="center"/>
    </xf>
    <xf numFmtId="1" fontId="111" fillId="0" borderId="0" xfId="271" applyNumberFormat="1" applyFont="1"/>
    <xf numFmtId="0" fontId="113" fillId="0" borderId="10" xfId="271" applyFont="1" applyFill="1" applyBorder="1" applyAlignment="1">
      <alignment vertical="center" wrapText="1"/>
    </xf>
    <xf numFmtId="0" fontId="113" fillId="0" borderId="10" xfId="271" applyFont="1" applyBorder="1" applyAlignment="1">
      <alignment vertical="center" wrapText="1"/>
    </xf>
    <xf numFmtId="0" fontId="114" fillId="0" borderId="0" xfId="271" applyFont="1" applyFill="1" applyBorder="1" applyAlignment="1"/>
    <xf numFmtId="0" fontId="114" fillId="0" borderId="10" xfId="271" applyFont="1" applyFill="1" applyBorder="1" applyAlignment="1">
      <alignment vertical="center" wrapText="1"/>
    </xf>
    <xf numFmtId="0" fontId="114" fillId="0" borderId="9" xfId="271" applyFont="1" applyFill="1" applyBorder="1" applyAlignment="1">
      <alignment vertical="center" wrapText="1"/>
    </xf>
    <xf numFmtId="0" fontId="113" fillId="0" borderId="9" xfId="271" applyFont="1" applyFill="1" applyBorder="1" applyAlignment="1">
      <alignment vertical="center" wrapText="1"/>
    </xf>
    <xf numFmtId="1" fontId="113" fillId="0" borderId="9" xfId="271" applyNumberFormat="1" applyFont="1" applyBorder="1" applyAlignment="1">
      <alignment horizontal="center" vertical="center"/>
    </xf>
    <xf numFmtId="3" fontId="113" fillId="0" borderId="0" xfId="271" applyNumberFormat="1" applyFont="1" applyFill="1" applyBorder="1" applyAlignment="1">
      <alignment vertical="center" wrapText="1"/>
    </xf>
    <xf numFmtId="0" fontId="113" fillId="0" borderId="0" xfId="271" applyFont="1"/>
    <xf numFmtId="0" fontId="113" fillId="0" borderId="0" xfId="271" applyFont="1" applyFill="1" applyBorder="1"/>
    <xf numFmtId="0" fontId="115" fillId="0" borderId="0" xfId="271" applyFont="1"/>
    <xf numFmtId="0" fontId="116" fillId="0" borderId="0" xfId="271" applyFont="1" applyAlignment="1">
      <alignment vertical="center"/>
    </xf>
    <xf numFmtId="0" fontId="117" fillId="0" borderId="0" xfId="271" applyFont="1"/>
    <xf numFmtId="0" fontId="118" fillId="0" borderId="0" xfId="271" applyFont="1" applyAlignment="1">
      <alignment vertical="center"/>
    </xf>
    <xf numFmtId="0" fontId="115" fillId="0" borderId="0" xfId="271" applyNumberFormat="1" applyFont="1" applyAlignment="1">
      <alignment vertical="center" wrapText="1"/>
    </xf>
    <xf numFmtId="0" fontId="113" fillId="0" borderId="0" xfId="271" applyNumberFormat="1" applyFont="1" applyAlignment="1">
      <alignment vertical="center" wrapText="1"/>
    </xf>
    <xf numFmtId="0" fontId="115" fillId="0" borderId="0" xfId="271" applyNumberFormat="1" applyFont="1" applyAlignment="1">
      <alignment vertical="center"/>
    </xf>
    <xf numFmtId="0" fontId="115" fillId="0" borderId="0" xfId="271" applyFont="1" applyBorder="1" applyAlignment="1">
      <alignment horizontal="left"/>
    </xf>
    <xf numFmtId="0" fontId="113" fillId="0" borderId="0" xfId="271" applyFont="1" applyBorder="1" applyAlignment="1">
      <alignment horizontal="left"/>
    </xf>
    <xf numFmtId="0" fontId="119" fillId="0" borderId="0" xfId="1" applyFont="1" applyAlignment="1">
      <alignment vertical="center"/>
    </xf>
    <xf numFmtId="0" fontId="115" fillId="0" borderId="0" xfId="1" applyFont="1" applyAlignment="1">
      <alignment vertical="center"/>
    </xf>
    <xf numFmtId="0" fontId="113" fillId="0" borderId="0" xfId="1" applyFont="1" applyAlignment="1">
      <alignment vertical="center"/>
    </xf>
    <xf numFmtId="0" fontId="120" fillId="4" borderId="2" xfId="1" applyFont="1" applyFill="1" applyBorder="1" applyAlignment="1">
      <alignment horizontal="center" vertical="center" wrapText="1"/>
    </xf>
    <xf numFmtId="0" fontId="120" fillId="4" borderId="10" xfId="1" applyFont="1" applyFill="1" applyBorder="1" applyAlignment="1">
      <alignment horizontal="center" vertical="center" wrapText="1"/>
    </xf>
    <xf numFmtId="0" fontId="121" fillId="0" borderId="0" xfId="1" applyFont="1" applyFill="1" applyBorder="1" applyAlignment="1">
      <alignment vertical="center" wrapText="1"/>
    </xf>
    <xf numFmtId="0" fontId="61" fillId="0" borderId="0" xfId="271" applyFont="1" applyFill="1" applyBorder="1"/>
    <xf numFmtId="9" fontId="122" fillId="0" borderId="0" xfId="1" applyNumberFormat="1" applyFont="1" applyFill="1" applyBorder="1" applyAlignment="1">
      <alignment vertical="center"/>
    </xf>
    <xf numFmtId="0" fontId="6" fillId="0" borderId="0" xfId="271" applyFont="1"/>
    <xf numFmtId="1" fontId="3" fillId="0" borderId="0" xfId="362" applyNumberFormat="1" applyFont="1" applyFill="1" applyBorder="1" applyAlignment="1" applyProtection="1">
      <alignment horizontal="right" vertical="center" wrapText="1"/>
    </xf>
    <xf numFmtId="1" fontId="62" fillId="0" borderId="0" xfId="362" applyNumberFormat="1" applyFont="1" applyFill="1" applyBorder="1" applyAlignment="1" applyProtection="1">
      <alignment vertical="center" wrapText="1"/>
    </xf>
    <xf numFmtId="0" fontId="10" fillId="0" borderId="0" xfId="271" applyFont="1" applyBorder="1" applyAlignment="1">
      <alignment horizontal="right" vertical="center"/>
    </xf>
    <xf numFmtId="0" fontId="6" fillId="0" borderId="10" xfId="271" applyFont="1" applyBorder="1"/>
    <xf numFmtId="0" fontId="10" fillId="0" borderId="10" xfId="271" applyFont="1" applyBorder="1" applyAlignment="1">
      <alignment vertical="center"/>
    </xf>
    <xf numFmtId="0" fontId="3" fillId="0" borderId="0" xfId="271" applyFont="1"/>
    <xf numFmtId="0" fontId="10" fillId="0" borderId="0" xfId="271" applyNumberFormat="1" applyFont="1"/>
    <xf numFmtId="0" fontId="10" fillId="0" borderId="0" xfId="271" applyFont="1"/>
    <xf numFmtId="0" fontId="3" fillId="0" borderId="0" xfId="271" applyFont="1" applyAlignment="1"/>
    <xf numFmtId="0" fontId="10" fillId="0" borderId="0" xfId="271" applyNumberFormat="1" applyFont="1" applyAlignment="1"/>
    <xf numFmtId="0" fontId="9" fillId="0" borderId="0" xfId="1" applyFont="1" applyAlignment="1">
      <alignment vertical="center"/>
    </xf>
    <xf numFmtId="0" fontId="2" fillId="0" borderId="0" xfId="271"/>
    <xf numFmtId="0" fontId="52" fillId="0" borderId="0" xfId="271" applyFont="1"/>
    <xf numFmtId="0" fontId="31" fillId="0" borderId="0" xfId="370" applyFont="1"/>
    <xf numFmtId="4" fontId="31" fillId="0" borderId="0" xfId="370" applyNumberFormat="1" applyFont="1"/>
    <xf numFmtId="3" fontId="31" fillId="0" borderId="0" xfId="370" applyNumberFormat="1" applyFont="1"/>
    <xf numFmtId="0" fontId="6" fillId="0" borderId="0" xfId="271" applyFont="1" applyAlignment="1">
      <alignment vertical="center"/>
    </xf>
    <xf numFmtId="0" fontId="31" fillId="0" borderId="0" xfId="370" applyFont="1" applyAlignment="1">
      <alignment vertical="center"/>
    </xf>
    <xf numFmtId="0" fontId="3" fillId="0" borderId="0" xfId="271" applyFont="1" applyAlignment="1">
      <alignment vertical="center"/>
    </xf>
    <xf numFmtId="3" fontId="7" fillId="0" borderId="0" xfId="372" applyNumberFormat="1" applyFont="1" applyBorder="1" applyAlignment="1">
      <alignment horizontal="center" vertical="center" wrapText="1"/>
    </xf>
    <xf numFmtId="3" fontId="3" fillId="0" borderId="0" xfId="372" applyNumberFormat="1" applyFont="1" applyBorder="1" applyAlignment="1">
      <alignment horizontal="center" vertical="center" wrapText="1"/>
    </xf>
    <xf numFmtId="3" fontId="7" fillId="0" borderId="0" xfId="271" applyNumberFormat="1" applyFont="1" applyBorder="1" applyAlignment="1">
      <alignment horizontal="right" vertical="center" wrapText="1"/>
    </xf>
    <xf numFmtId="14" fontId="96" fillId="0" borderId="0" xfId="271" applyNumberFormat="1" applyFont="1" applyBorder="1" applyAlignment="1">
      <alignment vertical="center"/>
    </xf>
    <xf numFmtId="0" fontId="124" fillId="0" borderId="0" xfId="271" applyFont="1" applyAlignment="1">
      <alignment vertical="center"/>
    </xf>
    <xf numFmtId="0" fontId="124" fillId="0" borderId="0" xfId="271" applyFont="1" applyBorder="1" applyAlignment="1">
      <alignment horizontal="center" vertical="center"/>
    </xf>
    <xf numFmtId="0" fontId="124" fillId="0" borderId="0" xfId="370" applyFont="1" applyAlignment="1">
      <alignment vertical="center"/>
    </xf>
    <xf numFmtId="0" fontId="96" fillId="0" borderId="0" xfId="271" applyFont="1" applyAlignment="1">
      <alignment vertical="center"/>
    </xf>
    <xf numFmtId="0" fontId="98" fillId="0" borderId="0" xfId="271" applyFont="1" applyAlignment="1">
      <alignment vertical="center" wrapText="1"/>
    </xf>
    <xf numFmtId="9" fontId="126" fillId="0" borderId="10" xfId="271" applyNumberFormat="1" applyFont="1" applyBorder="1" applyAlignment="1">
      <alignment horizontal="center" vertical="center"/>
    </xf>
    <xf numFmtId="0" fontId="75" fillId="0" borderId="0" xfId="374" applyFont="1" applyBorder="1" applyAlignment="1" applyProtection="1">
      <alignment horizontal="right" vertical="top"/>
      <protection hidden="1"/>
    </xf>
    <xf numFmtId="0" fontId="9" fillId="2" borderId="15" xfId="372" applyFont="1" applyFill="1" applyBorder="1" applyAlignment="1">
      <alignment horizontal="left" vertical="center" wrapText="1"/>
    </xf>
    <xf numFmtId="0" fontId="9" fillId="2" borderId="9" xfId="372" applyFont="1" applyFill="1" applyBorder="1" applyAlignment="1">
      <alignment horizontal="left" vertical="center" wrapText="1"/>
    </xf>
    <xf numFmtId="0" fontId="9" fillId="2" borderId="15" xfId="372" applyFont="1" applyFill="1" applyBorder="1" applyAlignment="1">
      <alignment horizontal="center" vertical="center" wrapText="1"/>
    </xf>
    <xf numFmtId="0" fontId="9" fillId="2" borderId="9" xfId="372" applyFont="1" applyFill="1" applyBorder="1" applyAlignment="1">
      <alignment horizontal="center" vertical="center" wrapText="1"/>
    </xf>
    <xf numFmtId="3" fontId="10" fillId="0" borderId="2" xfId="370" applyNumberFormat="1" applyFont="1" applyFill="1" applyBorder="1" applyAlignment="1">
      <alignment horizontal="center" vertical="center"/>
    </xf>
    <xf numFmtId="0" fontId="31" fillId="0" borderId="0" xfId="370" applyFont="1" applyFill="1"/>
    <xf numFmtId="0" fontId="75" fillId="0" borderId="4" xfId="374" applyFont="1" applyBorder="1" applyAlignment="1" applyProtection="1">
      <alignment horizontal="right" vertical="top"/>
      <protection hidden="1"/>
    </xf>
    <xf numFmtId="0" fontId="127" fillId="0" borderId="0" xfId="370" applyFont="1"/>
    <xf numFmtId="3" fontId="10" fillId="0" borderId="2" xfId="370" applyNumberFormat="1" applyFont="1" applyFill="1" applyBorder="1" applyAlignment="1">
      <alignment horizontal="center"/>
    </xf>
    <xf numFmtId="3" fontId="10" fillId="0" borderId="2" xfId="370" applyNumberFormat="1" applyFont="1" applyFill="1" applyBorder="1" applyAlignment="1">
      <alignment vertical="center"/>
    </xf>
    <xf numFmtId="3" fontId="10" fillId="0" borderId="10" xfId="2" applyNumberFormat="1" applyFont="1" applyFill="1" applyBorder="1" applyAlignment="1">
      <alignment horizontal="center" vertical="center"/>
    </xf>
    <xf numFmtId="0" fontId="10" fillId="0" borderId="10" xfId="370" applyFont="1" applyBorder="1"/>
    <xf numFmtId="0" fontId="128" fillId="0" borderId="0" xfId="370" applyFont="1" applyFill="1" applyBorder="1" applyAlignment="1">
      <alignment horizontal="left" vertical="center"/>
    </xf>
    <xf numFmtId="0" fontId="3" fillId="0" borderId="0" xfId="370" applyFont="1" applyFill="1" applyBorder="1" applyAlignment="1">
      <alignment horizontal="center" vertical="center" wrapText="1"/>
    </xf>
    <xf numFmtId="0" fontId="3" fillId="0" borderId="0" xfId="370" applyFont="1" applyFill="1" applyBorder="1" applyAlignment="1">
      <alignment horizontal="left" vertical="center"/>
    </xf>
    <xf numFmtId="1" fontId="7" fillId="0" borderId="0" xfId="371" applyNumberFormat="1" applyFont="1" applyFill="1" applyBorder="1" applyAlignment="1">
      <alignment vertical="center"/>
    </xf>
    <xf numFmtId="0" fontId="3" fillId="0" borderId="0" xfId="372" applyFont="1"/>
    <xf numFmtId="0" fontId="3" fillId="0" borderId="0" xfId="370" applyFont="1"/>
    <xf numFmtId="0" fontId="6" fillId="0" borderId="0" xfId="2" applyFont="1"/>
    <xf numFmtId="14" fontId="7" fillId="4" borderId="10" xfId="370" applyNumberFormat="1" applyFont="1" applyFill="1" applyBorder="1" applyAlignment="1">
      <alignment horizontal="center" vertical="center" wrapText="1"/>
    </xf>
    <xf numFmtId="9" fontId="10" fillId="0" borderId="10" xfId="370" applyNumberFormat="1" applyFont="1" applyFill="1" applyBorder="1" applyAlignment="1">
      <alignment horizontal="center" vertical="center"/>
    </xf>
    <xf numFmtId="1" fontId="52" fillId="0" borderId="0" xfId="371" applyNumberFormat="1" applyFont="1" applyFill="1" applyBorder="1" applyAlignment="1">
      <alignment horizontal="right" vertical="center" wrapText="1"/>
    </xf>
    <xf numFmtId="1" fontId="52" fillId="0" borderId="0" xfId="371" applyNumberFormat="1" applyFont="1" applyFill="1" applyBorder="1" applyAlignment="1">
      <alignment vertical="center"/>
    </xf>
    <xf numFmtId="0" fontId="130" fillId="0" borderId="0" xfId="1" applyFont="1" applyAlignment="1"/>
    <xf numFmtId="0" fontId="114" fillId="0" borderId="0" xfId="2" applyFont="1" applyBorder="1" applyAlignment="1">
      <alignment horizontal="left" indent="1"/>
    </xf>
    <xf numFmtId="0" fontId="113" fillId="0" borderId="0" xfId="2" applyFont="1"/>
    <xf numFmtId="0" fontId="114" fillId="0" borderId="0" xfId="2" applyFont="1" applyBorder="1" applyAlignment="1"/>
    <xf numFmtId="0" fontId="114" fillId="0" borderId="0" xfId="2" applyFont="1" applyFill="1" applyBorder="1" applyAlignment="1">
      <alignment vertical="center" wrapText="1"/>
    </xf>
    <xf numFmtId="0" fontId="61" fillId="0" borderId="0" xfId="2" applyFont="1" applyFill="1" applyBorder="1"/>
    <xf numFmtId="0" fontId="7" fillId="0" borderId="0" xfId="2" applyFont="1" applyFill="1" applyBorder="1" applyAlignment="1">
      <alignment horizontal="center" vertical="center" wrapText="1"/>
    </xf>
    <xf numFmtId="0" fontId="114" fillId="0" borderId="0" xfId="2" applyFont="1" applyFill="1" applyBorder="1" applyAlignment="1">
      <alignment horizontal="center" vertical="center" wrapText="1"/>
    </xf>
    <xf numFmtId="1" fontId="96" fillId="0" borderId="34" xfId="2" applyNumberFormat="1" applyFont="1" applyBorder="1" applyAlignment="1">
      <alignment horizontal="center" vertical="center"/>
    </xf>
    <xf numFmtId="1" fontId="113" fillId="0" borderId="0" xfId="2" applyNumberFormat="1" applyFont="1" applyFill="1" applyBorder="1" applyAlignment="1">
      <alignment horizontal="center" vertical="center"/>
    </xf>
    <xf numFmtId="0" fontId="3" fillId="0" borderId="0" xfId="2" applyFont="1" applyFill="1" applyBorder="1" applyAlignment="1">
      <alignment horizontal="center" vertical="center" wrapText="1"/>
    </xf>
    <xf numFmtId="0" fontId="94" fillId="0" borderId="13" xfId="2" applyFont="1" applyBorder="1" applyAlignment="1">
      <alignment horizontal="center"/>
    </xf>
    <xf numFmtId="1" fontId="96" fillId="0" borderId="13" xfId="2" applyNumberFormat="1" applyFont="1" applyBorder="1" applyAlignment="1">
      <alignment horizontal="center" vertical="center"/>
    </xf>
    <xf numFmtId="0" fontId="94" fillId="0" borderId="7" xfId="2" applyFont="1" applyBorder="1" applyAlignment="1">
      <alignment horizontal="center"/>
    </xf>
    <xf numFmtId="0" fontId="96" fillId="0" borderId="7" xfId="2" applyFont="1" applyFill="1" applyBorder="1" applyAlignment="1">
      <alignment vertical="center" wrapText="1"/>
    </xf>
    <xf numFmtId="1" fontId="96" fillId="0" borderId="7" xfId="2" applyNumberFormat="1" applyFont="1" applyBorder="1" applyAlignment="1">
      <alignment horizontal="center" vertical="center"/>
    </xf>
    <xf numFmtId="0" fontId="114" fillId="0" borderId="0" xfId="2" applyFont="1" applyFill="1" applyBorder="1" applyAlignment="1"/>
    <xf numFmtId="0" fontId="3" fillId="0" borderId="0" xfId="2" applyNumberFormat="1" applyFont="1" applyFill="1" applyBorder="1" applyAlignment="1">
      <alignment horizontal="center" vertical="center" wrapText="1"/>
    </xf>
    <xf numFmtId="3" fontId="113" fillId="0" borderId="0" xfId="2" applyNumberFormat="1" applyFont="1" applyFill="1" applyBorder="1" applyAlignment="1">
      <alignment vertical="center" wrapText="1"/>
    </xf>
    <xf numFmtId="0" fontId="3" fillId="0" borderId="0" xfId="2" applyFont="1" applyFill="1"/>
    <xf numFmtId="0" fontId="113" fillId="0" borderId="0" xfId="2" applyNumberFormat="1" applyFont="1" applyFill="1" applyBorder="1" applyAlignment="1">
      <alignment vertical="center" wrapText="1"/>
    </xf>
    <xf numFmtId="0" fontId="113" fillId="0" borderId="0" xfId="2" applyFont="1" applyFill="1" applyBorder="1"/>
    <xf numFmtId="0" fontId="118" fillId="0" borderId="0" xfId="2" applyFont="1" applyAlignment="1"/>
    <xf numFmtId="0" fontId="113" fillId="0" borderId="0" xfId="2" applyFont="1" applyBorder="1" applyAlignment="1"/>
    <xf numFmtId="0" fontId="110" fillId="0" borderId="0" xfId="2" applyFont="1"/>
    <xf numFmtId="0" fontId="118" fillId="0" borderId="0" xfId="2" applyFont="1" applyAlignment="1">
      <alignment vertical="center"/>
    </xf>
    <xf numFmtId="0" fontId="96" fillId="0" borderId="0" xfId="2" applyFont="1"/>
    <xf numFmtId="0" fontId="113" fillId="0" borderId="0" xfId="2" applyNumberFormat="1" applyFont="1" applyAlignment="1">
      <alignment vertical="center" wrapText="1"/>
    </xf>
    <xf numFmtId="0" fontId="113" fillId="0" borderId="0" xfId="2" applyFont="1" applyBorder="1" applyAlignment="1">
      <alignment horizontal="left"/>
    </xf>
    <xf numFmtId="0" fontId="131" fillId="0" borderId="0" xfId="2" applyFont="1"/>
    <xf numFmtId="0" fontId="61" fillId="0" borderId="0" xfId="2" applyFont="1" applyBorder="1"/>
    <xf numFmtId="0" fontId="120" fillId="0" borderId="0" xfId="1" applyFont="1" applyFill="1" applyBorder="1" applyAlignment="1">
      <alignment horizontal="center" vertical="center" wrapText="1"/>
    </xf>
    <xf numFmtId="0" fontId="135" fillId="3" borderId="10" xfId="271" applyFont="1" applyFill="1" applyBorder="1" applyAlignment="1">
      <alignment horizontal="center" vertical="center"/>
    </xf>
    <xf numFmtId="0" fontId="135" fillId="3" borderId="10" xfId="271" applyFont="1" applyFill="1" applyBorder="1" applyAlignment="1">
      <alignment horizontal="center" vertical="center" wrapText="1"/>
    </xf>
    <xf numFmtId="0" fontId="86" fillId="0" borderId="0" xfId="271" applyFont="1" applyBorder="1"/>
    <xf numFmtId="0" fontId="59" fillId="0" borderId="34" xfId="271" applyFont="1" applyBorder="1" applyAlignment="1">
      <alignment vertical="center"/>
    </xf>
    <xf numFmtId="0" fontId="59" fillId="0" borderId="30" xfId="271" applyFont="1" applyBorder="1" applyAlignment="1">
      <alignment vertical="center"/>
    </xf>
    <xf numFmtId="0" fontId="59" fillId="0" borderId="30" xfId="271" applyFont="1" applyFill="1" applyBorder="1" applyAlignment="1">
      <alignment vertical="center" wrapText="1"/>
    </xf>
    <xf numFmtId="0" fontId="59" fillId="0" borderId="13" xfId="271" applyFont="1" applyFill="1" applyBorder="1" applyAlignment="1">
      <alignment vertical="center" wrapText="1"/>
    </xf>
    <xf numFmtId="0" fontId="59" fillId="0" borderId="10" xfId="271" applyFont="1" applyFill="1" applyBorder="1" applyAlignment="1">
      <alignment vertical="center" wrapText="1"/>
    </xf>
    <xf numFmtId="0" fontId="59" fillId="0" borderId="13" xfId="271" applyFont="1" applyBorder="1" applyAlignment="1">
      <alignment vertical="center"/>
    </xf>
    <xf numFmtId="0" fontId="59" fillId="0" borderId="34" xfId="271" applyFont="1" applyFill="1" applyBorder="1" applyAlignment="1">
      <alignment vertical="center" wrapText="1"/>
    </xf>
    <xf numFmtId="0" fontId="135" fillId="0" borderId="10" xfId="271" applyFont="1" applyBorder="1" applyAlignment="1">
      <alignment horizontal="center" vertical="top" wrapText="1"/>
    </xf>
    <xf numFmtId="0" fontId="134" fillId="0" borderId="10" xfId="271" applyFont="1" applyBorder="1" applyAlignment="1">
      <alignment horizontal="center" vertical="center" wrapText="1"/>
    </xf>
    <xf numFmtId="0" fontId="135" fillId="0" borderId="10" xfId="271" applyFont="1" applyBorder="1" applyAlignment="1">
      <alignment horizontal="center" vertical="center" wrapText="1"/>
    </xf>
    <xf numFmtId="0" fontId="134" fillId="0" borderId="34" xfId="271" applyFont="1" applyFill="1" applyBorder="1" applyAlignment="1">
      <alignment vertical="center" wrapText="1"/>
    </xf>
    <xf numFmtId="0" fontId="134" fillId="0" borderId="30" xfId="271" applyFont="1" applyFill="1" applyBorder="1" applyAlignment="1">
      <alignment vertical="center" wrapText="1"/>
    </xf>
    <xf numFmtId="0" fontId="134" fillId="0" borderId="31" xfId="271" applyFont="1" applyFill="1" applyBorder="1" applyAlignment="1">
      <alignment vertical="center" wrapText="1"/>
    </xf>
    <xf numFmtId="0" fontId="134" fillId="3" borderId="2" xfId="271" applyFont="1" applyFill="1" applyBorder="1" applyAlignment="1">
      <alignment wrapText="1"/>
    </xf>
    <xf numFmtId="0" fontId="134" fillId="3" borderId="4" xfId="271" applyFont="1" applyFill="1" applyBorder="1" applyAlignment="1">
      <alignment wrapText="1"/>
    </xf>
    <xf numFmtId="1" fontId="59" fillId="0" borderId="10" xfId="271" applyNumberFormat="1" applyFont="1" applyBorder="1" applyAlignment="1">
      <alignment horizontal="center" vertical="center" wrapText="1"/>
    </xf>
    <xf numFmtId="0" fontId="135" fillId="0" borderId="0" xfId="271" applyFont="1" applyBorder="1" applyAlignment="1">
      <alignment vertical="top"/>
    </xf>
    <xf numFmtId="0" fontId="67" fillId="0" borderId="0" xfId="271" applyFont="1" applyFill="1" applyBorder="1" applyAlignment="1">
      <alignment horizontal="left" vertical="center" indent="1"/>
    </xf>
    <xf numFmtId="0" fontId="2" fillId="0" borderId="0" xfId="271" applyFill="1" applyBorder="1" applyAlignment="1">
      <alignment vertical="center"/>
    </xf>
    <xf numFmtId="1" fontId="65" fillId="0" borderId="0" xfId="271" applyNumberFormat="1" applyFont="1" applyFill="1" applyBorder="1" applyAlignment="1">
      <alignment vertical="center"/>
    </xf>
    <xf numFmtId="0" fontId="127" fillId="0" borderId="0" xfId="271" applyFont="1"/>
    <xf numFmtId="0" fontId="52" fillId="0" borderId="0" xfId="271" applyFont="1" applyFill="1" applyBorder="1" applyAlignment="1">
      <alignment vertical="top"/>
    </xf>
    <xf numFmtId="0" fontId="58" fillId="4" borderId="10" xfId="1" applyFont="1" applyFill="1" applyBorder="1" applyAlignment="1">
      <alignment horizontal="center" vertical="center"/>
    </xf>
    <xf numFmtId="9" fontId="10" fillId="0" borderId="10" xfId="4" applyFont="1" applyBorder="1" applyAlignment="1">
      <alignment horizontal="center" vertical="center"/>
    </xf>
    <xf numFmtId="0" fontId="2" fillId="0" borderId="0" xfId="271" applyFont="1"/>
    <xf numFmtId="0" fontId="2" fillId="0" borderId="0" xfId="271" applyFont="1" applyAlignment="1">
      <alignment horizontal="center" vertical="center"/>
    </xf>
    <xf numFmtId="0" fontId="6" fillId="0" borderId="0" xfId="271" applyFont="1" applyAlignment="1">
      <alignment horizontal="center" vertical="center"/>
    </xf>
    <xf numFmtId="1" fontId="44" fillId="0" borderId="1" xfId="362" applyNumberFormat="1" applyFont="1" applyFill="1" applyBorder="1" applyAlignment="1" applyProtection="1">
      <alignment vertical="center" wrapText="1"/>
    </xf>
    <xf numFmtId="1" fontId="44" fillId="0" borderId="0" xfId="1" applyNumberFormat="1" applyFont="1" applyBorder="1" applyAlignment="1">
      <alignment horizontal="center"/>
    </xf>
    <xf numFmtId="14" fontId="44" fillId="0" borderId="0" xfId="271" applyNumberFormat="1" applyFont="1" applyAlignment="1">
      <alignment horizontal="center"/>
    </xf>
    <xf numFmtId="1" fontId="44" fillId="0" borderId="0" xfId="376" applyNumberFormat="1" applyFont="1" applyFill="1" applyBorder="1" applyAlignment="1">
      <alignment vertical="center" wrapText="1"/>
    </xf>
    <xf numFmtId="0" fontId="44" fillId="0" borderId="0" xfId="271" applyFont="1" applyAlignment="1">
      <alignment horizontal="center" vertical="center"/>
    </xf>
    <xf numFmtId="0" fontId="7" fillId="0" borderId="0" xfId="271" quotePrefix="1" applyFont="1" applyFill="1" applyBorder="1" applyAlignment="1">
      <alignment vertical="center" wrapText="1"/>
    </xf>
    <xf numFmtId="0" fontId="6" fillId="0" borderId="0" xfId="271" applyFont="1" applyBorder="1"/>
    <xf numFmtId="2" fontId="44" fillId="0" borderId="34" xfId="271" applyNumberFormat="1" applyFont="1" applyBorder="1" applyAlignment="1" applyProtection="1">
      <alignment horizontal="center" vertical="center"/>
      <protection hidden="1"/>
    </xf>
    <xf numFmtId="0" fontId="44" fillId="0" borderId="34" xfId="271" applyFont="1" applyBorder="1" applyAlignment="1" applyProtection="1">
      <alignment horizontal="center" vertical="center" wrapText="1"/>
      <protection hidden="1"/>
    </xf>
    <xf numFmtId="3" fontId="13" fillId="0" borderId="34" xfId="271" applyNumberFormat="1" applyFont="1" applyBorder="1" applyAlignment="1" applyProtection="1">
      <alignment horizontal="center" vertical="center"/>
      <protection hidden="1"/>
    </xf>
    <xf numFmtId="0" fontId="44" fillId="0" borderId="30" xfId="271" applyFont="1" applyBorder="1" applyAlignment="1" applyProtection="1">
      <alignment horizontal="center" vertical="center" wrapText="1"/>
      <protection hidden="1"/>
    </xf>
    <xf numFmtId="2" fontId="44" fillId="0" borderId="30" xfId="271" applyNumberFormat="1" applyFont="1" applyBorder="1" applyAlignment="1" applyProtection="1">
      <alignment horizontal="center" vertical="center" wrapText="1"/>
      <protection hidden="1"/>
    </xf>
    <xf numFmtId="1" fontId="44" fillId="0" borderId="30" xfId="271" applyNumberFormat="1" applyFont="1" applyBorder="1" applyAlignment="1" applyProtection="1">
      <alignment horizontal="center" vertical="center" wrapText="1"/>
      <protection hidden="1"/>
    </xf>
    <xf numFmtId="3" fontId="44" fillId="0" borderId="30" xfId="271" applyNumberFormat="1" applyFont="1" applyFill="1" applyBorder="1" applyAlignment="1" applyProtection="1">
      <alignment horizontal="center" vertical="center"/>
      <protection hidden="1"/>
    </xf>
    <xf numFmtId="2" fontId="44" fillId="0" borderId="30" xfId="271" applyNumberFormat="1" applyFont="1" applyBorder="1" applyAlignment="1" applyProtection="1">
      <alignment horizontal="center" vertical="center"/>
      <protection hidden="1"/>
    </xf>
    <xf numFmtId="3" fontId="13" fillId="0" borderId="30" xfId="271" applyNumberFormat="1" applyFont="1" applyBorder="1" applyAlignment="1" applyProtection="1">
      <alignment horizontal="center" vertical="center"/>
      <protection hidden="1"/>
    </xf>
    <xf numFmtId="172" fontId="44" fillId="0" borderId="30" xfId="271" applyNumberFormat="1" applyFont="1" applyBorder="1" applyAlignment="1" applyProtection="1">
      <alignment horizontal="center" vertical="center"/>
      <protection hidden="1"/>
    </xf>
    <xf numFmtId="0" fontId="44" fillId="0" borderId="30" xfId="271" applyFont="1" applyBorder="1" applyAlignment="1" applyProtection="1">
      <alignment horizontal="center" vertical="center"/>
      <protection hidden="1"/>
    </xf>
    <xf numFmtId="1" fontId="44" fillId="0" borderId="30" xfId="271" applyNumberFormat="1" applyFont="1" applyBorder="1" applyAlignment="1" applyProtection="1">
      <alignment horizontal="center" vertical="center"/>
      <protection hidden="1"/>
    </xf>
    <xf numFmtId="172" fontId="44" fillId="0" borderId="13" xfId="271" applyNumberFormat="1" applyFont="1" applyBorder="1" applyAlignment="1" applyProtection="1">
      <alignment horizontal="center" vertical="center"/>
      <protection hidden="1"/>
    </xf>
    <xf numFmtId="0" fontId="44" fillId="0" borderId="13" xfId="271" applyFont="1" applyBorder="1" applyAlignment="1" applyProtection="1">
      <alignment horizontal="center" vertical="center" wrapText="1"/>
      <protection hidden="1"/>
    </xf>
    <xf numFmtId="0" fontId="44" fillId="0" borderId="13" xfId="271" applyFont="1" applyBorder="1" applyAlignment="1" applyProtection="1">
      <alignment horizontal="center" vertical="center"/>
      <protection hidden="1"/>
    </xf>
    <xf numFmtId="2" fontId="44" fillId="0" borderId="13" xfId="271" applyNumberFormat="1" applyFont="1" applyBorder="1" applyAlignment="1" applyProtection="1">
      <alignment horizontal="center" vertical="center"/>
      <protection hidden="1"/>
    </xf>
    <xf numFmtId="1" fontId="44" fillId="0" borderId="13" xfId="271" applyNumberFormat="1" applyFont="1" applyBorder="1" applyAlignment="1" applyProtection="1">
      <alignment horizontal="center" vertical="center"/>
      <protection hidden="1"/>
    </xf>
    <xf numFmtId="3" fontId="44" fillId="0" borderId="13" xfId="271" applyNumberFormat="1" applyFont="1" applyFill="1" applyBorder="1" applyAlignment="1" applyProtection="1">
      <alignment horizontal="center" vertical="center"/>
      <protection hidden="1"/>
    </xf>
    <xf numFmtId="2" fontId="44" fillId="0" borderId="34" xfId="271" applyNumberFormat="1" applyFont="1" applyBorder="1" applyAlignment="1" applyProtection="1">
      <alignment horizontal="center" vertical="center" wrapText="1"/>
      <protection hidden="1"/>
    </xf>
    <xf numFmtId="1" fontId="44" fillId="0" borderId="34" xfId="271" applyNumberFormat="1" applyFont="1" applyBorder="1" applyAlignment="1" applyProtection="1">
      <alignment horizontal="center" vertical="center" wrapText="1"/>
      <protection hidden="1"/>
    </xf>
    <xf numFmtId="3" fontId="44" fillId="0" borderId="34" xfId="271" applyNumberFormat="1" applyFont="1" applyFill="1" applyBorder="1" applyAlignment="1" applyProtection="1">
      <alignment horizontal="center" vertical="center"/>
      <protection hidden="1"/>
    </xf>
    <xf numFmtId="172" fontId="44" fillId="0" borderId="30" xfId="271" applyNumberFormat="1" applyFont="1" applyFill="1" applyBorder="1" applyAlignment="1" applyProtection="1">
      <alignment horizontal="center" vertical="center"/>
      <protection hidden="1"/>
    </xf>
    <xf numFmtId="0" fontId="44" fillId="0" borderId="30" xfId="271" applyFont="1" applyFill="1" applyBorder="1" applyAlignment="1" applyProtection="1">
      <alignment horizontal="center" vertical="center" wrapText="1"/>
      <protection hidden="1"/>
    </xf>
    <xf numFmtId="0" fontId="44" fillId="0" borderId="30" xfId="271" applyFont="1" applyFill="1" applyBorder="1" applyAlignment="1" applyProtection="1">
      <alignment horizontal="center" vertical="center"/>
      <protection hidden="1"/>
    </xf>
    <xf numFmtId="2" fontId="44" fillId="0" borderId="30" xfId="271" applyNumberFormat="1" applyFont="1" applyFill="1" applyBorder="1" applyAlignment="1" applyProtection="1">
      <alignment horizontal="center" vertical="center"/>
      <protection hidden="1"/>
    </xf>
    <xf numFmtId="1" fontId="44" fillId="0" borderId="30" xfId="271" applyNumberFormat="1" applyFont="1" applyFill="1" applyBorder="1" applyAlignment="1" applyProtection="1">
      <alignment horizontal="center" vertical="center"/>
      <protection hidden="1"/>
    </xf>
    <xf numFmtId="3" fontId="13" fillId="0" borderId="13" xfId="271" applyNumberFormat="1" applyFont="1" applyBorder="1" applyAlignment="1" applyProtection="1">
      <alignment horizontal="center" vertical="center"/>
      <protection hidden="1"/>
    </xf>
    <xf numFmtId="1" fontId="44" fillId="0" borderId="9" xfId="271" applyNumberFormat="1" applyFont="1" applyBorder="1" applyAlignment="1" applyProtection="1">
      <alignment horizontal="center" vertical="center"/>
      <protection hidden="1"/>
    </xf>
    <xf numFmtId="3" fontId="13" fillId="0" borderId="30" xfId="271" applyNumberFormat="1" applyFont="1" applyFill="1" applyBorder="1" applyAlignment="1" applyProtection="1">
      <alignment horizontal="center" vertical="center"/>
      <protection hidden="1"/>
    </xf>
    <xf numFmtId="3" fontId="13" fillId="0" borderId="13" xfId="271" applyNumberFormat="1" applyFont="1" applyFill="1" applyBorder="1" applyAlignment="1" applyProtection="1">
      <alignment horizontal="center" vertical="center"/>
      <protection hidden="1"/>
    </xf>
    <xf numFmtId="172" fontId="44" fillId="0" borderId="34" xfId="271" applyNumberFormat="1" applyFont="1" applyBorder="1" applyAlignment="1" applyProtection="1">
      <alignment horizontal="center" vertical="center"/>
      <protection hidden="1"/>
    </xf>
    <xf numFmtId="0" fontId="44" fillId="0" borderId="34" xfId="271" applyFont="1" applyBorder="1" applyAlignment="1" applyProtection="1">
      <alignment horizontal="center" vertical="center"/>
      <protection hidden="1"/>
    </xf>
    <xf numFmtId="1" fontId="44" fillId="0" borderId="34" xfId="271" applyNumberFormat="1" applyFont="1" applyBorder="1" applyAlignment="1" applyProtection="1">
      <alignment horizontal="center" vertical="center"/>
      <protection hidden="1"/>
    </xf>
    <xf numFmtId="0" fontId="2" fillId="0" borderId="0" xfId="271" applyAlignment="1">
      <alignment vertical="center"/>
    </xf>
    <xf numFmtId="172" fontId="44" fillId="0" borderId="31" xfId="271" applyNumberFormat="1" applyFont="1" applyBorder="1" applyAlignment="1" applyProtection="1">
      <alignment horizontal="center" vertical="center"/>
      <protection hidden="1"/>
    </xf>
    <xf numFmtId="0" fontId="44" fillId="0" borderId="31" xfId="271" applyFont="1" applyBorder="1" applyAlignment="1" applyProtection="1">
      <alignment horizontal="center" vertical="center"/>
      <protection hidden="1"/>
    </xf>
    <xf numFmtId="2" fontId="44" fillId="0" borderId="31" xfId="271" applyNumberFormat="1" applyFont="1" applyBorder="1" applyAlignment="1" applyProtection="1">
      <alignment horizontal="center" vertical="center"/>
      <protection hidden="1"/>
    </xf>
    <xf numFmtId="1" fontId="44" fillId="0" borderId="31" xfId="271" applyNumberFormat="1" applyFont="1" applyBorder="1" applyAlignment="1" applyProtection="1">
      <alignment horizontal="center" vertical="center"/>
      <protection hidden="1"/>
    </xf>
    <xf numFmtId="3" fontId="44" fillId="0" borderId="31" xfId="271" applyNumberFormat="1" applyFont="1" applyFill="1" applyBorder="1" applyAlignment="1" applyProtection="1">
      <alignment horizontal="center" vertical="center"/>
      <protection hidden="1"/>
    </xf>
    <xf numFmtId="0" fontId="2" fillId="0" borderId="12" xfId="271" applyFont="1" applyBorder="1"/>
    <xf numFmtId="0" fontId="76" fillId="0" borderId="0" xfId="271" applyFont="1" applyBorder="1" applyAlignment="1" applyProtection="1">
      <alignment vertical="center"/>
      <protection hidden="1"/>
    </xf>
    <xf numFmtId="0" fontId="2" fillId="0" borderId="0" xfId="271" applyFont="1" applyBorder="1"/>
    <xf numFmtId="172" fontId="44" fillId="0" borderId="0" xfId="271" applyNumberFormat="1" applyFont="1" applyBorder="1" applyAlignment="1" applyProtection="1">
      <alignment horizontal="center" vertical="center"/>
      <protection hidden="1"/>
    </xf>
    <xf numFmtId="0" fontId="44" fillId="0" borderId="0" xfId="271" applyFont="1" applyBorder="1" applyAlignment="1" applyProtection="1">
      <alignment horizontal="center" vertical="center" wrapText="1"/>
      <protection hidden="1"/>
    </xf>
    <xf numFmtId="0" fontId="44" fillId="0" borderId="0" xfId="271" applyFont="1" applyBorder="1" applyAlignment="1" applyProtection="1">
      <alignment horizontal="center" vertical="center"/>
      <protection hidden="1"/>
    </xf>
    <xf numFmtId="2" fontId="44" fillId="0" borderId="0" xfId="271" applyNumberFormat="1" applyFont="1" applyBorder="1" applyAlignment="1" applyProtection="1">
      <alignment horizontal="center" vertical="center"/>
      <protection hidden="1"/>
    </xf>
    <xf numFmtId="1" fontId="44" fillId="0" borderId="0" xfId="271" applyNumberFormat="1" applyFont="1" applyBorder="1" applyAlignment="1" applyProtection="1">
      <alignment horizontal="center" vertical="center"/>
      <protection hidden="1"/>
    </xf>
    <xf numFmtId="3" fontId="44" fillId="0" borderId="0" xfId="271" applyNumberFormat="1" applyFont="1" applyBorder="1" applyAlignment="1" applyProtection="1">
      <alignment horizontal="center" vertical="center" wrapText="1"/>
      <protection hidden="1"/>
    </xf>
    <xf numFmtId="3" fontId="44" fillId="0" borderId="0" xfId="271" applyNumberFormat="1" applyFont="1" applyFill="1" applyBorder="1" applyAlignment="1" applyProtection="1">
      <alignment horizontal="center" vertical="center"/>
      <protection hidden="1"/>
    </xf>
    <xf numFmtId="0" fontId="76" fillId="0" borderId="0" xfId="271" applyFont="1" applyBorder="1" applyAlignment="1" applyProtection="1">
      <alignment vertical="center" wrapText="1"/>
      <protection hidden="1"/>
    </xf>
    <xf numFmtId="0" fontId="137" fillId="0" borderId="0" xfId="271" applyFont="1" applyBorder="1" applyAlignment="1">
      <alignment vertical="center" wrapText="1"/>
    </xf>
    <xf numFmtId="0" fontId="44" fillId="0" borderId="0" xfId="271" applyFont="1" applyBorder="1" applyAlignment="1" applyProtection="1">
      <alignment vertical="center"/>
      <protection hidden="1"/>
    </xf>
    <xf numFmtId="0" fontId="76" fillId="0" borderId="0" xfId="374" applyFont="1" applyBorder="1" applyAlignment="1" applyProtection="1">
      <alignment horizontal="left" vertical="center"/>
      <protection hidden="1"/>
    </xf>
    <xf numFmtId="0" fontId="7" fillId="0" borderId="0" xfId="271" applyFont="1" applyBorder="1" applyAlignment="1" applyProtection="1">
      <alignment vertical="center" wrapText="1"/>
      <protection hidden="1"/>
    </xf>
    <xf numFmtId="0" fontId="7" fillId="0" borderId="0" xfId="271" applyFont="1" applyBorder="1" applyAlignment="1" applyProtection="1">
      <alignment vertical="center"/>
      <protection hidden="1"/>
    </xf>
    <xf numFmtId="0" fontId="38" fillId="0" borderId="0" xfId="374" applyFont="1" applyBorder="1" applyAlignment="1" applyProtection="1">
      <alignment vertical="top"/>
      <protection hidden="1"/>
    </xf>
    <xf numFmtId="0" fontId="5" fillId="0" borderId="0" xfId="374" applyFont="1" applyBorder="1" applyAlignment="1" applyProtection="1">
      <alignment vertical="top"/>
      <protection hidden="1"/>
    </xf>
    <xf numFmtId="14" fontId="10" fillId="0" borderId="0" xfId="271" applyNumberFormat="1" applyFont="1" applyBorder="1" applyAlignment="1" applyProtection="1">
      <alignment horizontal="center"/>
      <protection hidden="1"/>
    </xf>
    <xf numFmtId="0" fontId="7" fillId="0" borderId="0" xfId="374" applyFont="1" applyBorder="1" applyAlignment="1"/>
    <xf numFmtId="0" fontId="9" fillId="2" borderId="9" xfId="271" applyFont="1" applyFill="1" applyBorder="1" applyAlignment="1" applyProtection="1">
      <alignment horizontal="center" vertical="center" wrapText="1"/>
      <protection hidden="1"/>
    </xf>
    <xf numFmtId="0" fontId="9" fillId="2" borderId="10" xfId="271" applyFont="1" applyFill="1" applyBorder="1" applyAlignment="1" applyProtection="1">
      <alignment horizontal="center" vertical="center" wrapText="1"/>
      <protection hidden="1"/>
    </xf>
    <xf numFmtId="0" fontId="9" fillId="2" borderId="10" xfId="271" applyNumberFormat="1" applyFont="1" applyFill="1" applyBorder="1" applyAlignment="1" applyProtection="1">
      <alignment horizontal="center" vertical="center" wrapText="1"/>
      <protection hidden="1"/>
    </xf>
    <xf numFmtId="3" fontId="9" fillId="2" borderId="10" xfId="271" applyNumberFormat="1" applyFont="1" applyFill="1" applyBorder="1" applyAlignment="1" applyProtection="1">
      <alignment horizontal="center" vertical="center" wrapText="1"/>
      <protection hidden="1"/>
    </xf>
    <xf numFmtId="2" fontId="10" fillId="0" borderId="34" xfId="271" applyNumberFormat="1" applyFont="1" applyBorder="1" applyAlignment="1" applyProtection="1">
      <alignment horizontal="center" vertical="center"/>
      <protection hidden="1"/>
    </xf>
    <xf numFmtId="0" fontId="10" fillId="0" borderId="34" xfId="271" applyFont="1" applyBorder="1" applyAlignment="1" applyProtection="1">
      <alignment horizontal="center" vertical="center" wrapText="1"/>
      <protection hidden="1"/>
    </xf>
    <xf numFmtId="3" fontId="10" fillId="0" borderId="34" xfId="271" applyNumberFormat="1" applyFont="1" applyFill="1" applyBorder="1" applyAlignment="1" applyProtection="1">
      <alignment horizontal="center" vertical="center"/>
      <protection hidden="1"/>
    </xf>
    <xf numFmtId="2" fontId="10" fillId="0" borderId="30" xfId="271" applyNumberFormat="1" applyFont="1" applyBorder="1" applyAlignment="1" applyProtection="1">
      <alignment horizontal="center" vertical="center"/>
      <protection hidden="1"/>
    </xf>
    <xf numFmtId="0" fontId="10" fillId="0" borderId="30" xfId="271" applyFont="1" applyBorder="1" applyAlignment="1" applyProtection="1">
      <alignment horizontal="center" vertical="center" wrapText="1"/>
      <protection hidden="1"/>
    </xf>
    <xf numFmtId="3" fontId="10" fillId="0" borderId="30" xfId="271" applyNumberFormat="1" applyFont="1" applyFill="1" applyBorder="1" applyAlignment="1" applyProtection="1">
      <alignment horizontal="center" vertical="center"/>
      <protection hidden="1"/>
    </xf>
    <xf numFmtId="172" fontId="10" fillId="0" borderId="30" xfId="271" applyNumberFormat="1" applyFont="1" applyBorder="1" applyAlignment="1" applyProtection="1">
      <alignment horizontal="center" vertical="center"/>
      <protection hidden="1"/>
    </xf>
    <xf numFmtId="2" fontId="10" fillId="0" borderId="13" xfId="271" applyNumberFormat="1" applyFont="1" applyBorder="1" applyAlignment="1" applyProtection="1">
      <alignment horizontal="center" vertical="center"/>
      <protection hidden="1"/>
    </xf>
    <xf numFmtId="0" fontId="10" fillId="0" borderId="13" xfId="271" applyFont="1" applyBorder="1" applyAlignment="1" applyProtection="1">
      <alignment horizontal="center" vertical="center" wrapText="1"/>
      <protection hidden="1"/>
    </xf>
    <xf numFmtId="3" fontId="10" fillId="0" borderId="13" xfId="271" applyNumberFormat="1" applyFont="1" applyFill="1" applyBorder="1" applyAlignment="1" applyProtection="1">
      <alignment horizontal="center" vertical="center"/>
      <protection hidden="1"/>
    </xf>
    <xf numFmtId="2" fontId="10" fillId="0" borderId="30" xfId="271" applyNumberFormat="1" applyFont="1" applyBorder="1" applyAlignment="1" applyProtection="1">
      <alignment horizontal="center" vertical="center" wrapText="1"/>
      <protection hidden="1"/>
    </xf>
    <xf numFmtId="1" fontId="10" fillId="0" borderId="30" xfId="271" applyNumberFormat="1" applyFont="1" applyBorder="1" applyAlignment="1" applyProtection="1">
      <alignment horizontal="center" vertical="center"/>
      <protection hidden="1"/>
    </xf>
    <xf numFmtId="1" fontId="10" fillId="0" borderId="13" xfId="271" applyNumberFormat="1" applyFont="1" applyBorder="1" applyAlignment="1" applyProtection="1">
      <alignment horizontal="center" vertical="center"/>
      <protection hidden="1"/>
    </xf>
    <xf numFmtId="0" fontId="9" fillId="0" borderId="9" xfId="271" applyFont="1" applyFill="1" applyBorder="1" applyAlignment="1" applyProtection="1">
      <alignment horizontal="center" vertical="center" wrapText="1"/>
      <protection hidden="1"/>
    </xf>
    <xf numFmtId="172" fontId="10" fillId="0" borderId="9" xfId="271" applyNumberFormat="1" applyFont="1" applyFill="1" applyBorder="1" applyAlignment="1" applyProtection="1">
      <alignment horizontal="center" vertical="center"/>
      <protection hidden="1"/>
    </xf>
    <xf numFmtId="4" fontId="10" fillId="0" borderId="9" xfId="271" applyNumberFormat="1" applyFont="1" applyFill="1" applyBorder="1" applyAlignment="1" applyProtection="1">
      <alignment horizontal="center" vertical="center"/>
      <protection hidden="1"/>
    </xf>
    <xf numFmtId="3" fontId="138" fillId="0" borderId="10" xfId="271" applyNumberFormat="1" applyFont="1" applyFill="1" applyBorder="1" applyAlignment="1" applyProtection="1">
      <alignment horizontal="center" vertical="center"/>
      <protection hidden="1"/>
    </xf>
    <xf numFmtId="0" fontId="10" fillId="53" borderId="10" xfId="271" applyFont="1" applyFill="1" applyBorder="1" applyAlignment="1" applyProtection="1">
      <alignment horizontal="center" vertical="center" wrapText="1"/>
      <protection hidden="1"/>
    </xf>
    <xf numFmtId="2" fontId="10" fillId="0" borderId="3" xfId="271" applyNumberFormat="1" applyFont="1" applyBorder="1" applyAlignment="1" applyProtection="1">
      <alignment horizontal="center" vertical="center" wrapText="1"/>
      <protection hidden="1"/>
    </xf>
    <xf numFmtId="2" fontId="10" fillId="0" borderId="10" xfId="271" applyNumberFormat="1" applyFont="1" applyBorder="1" applyAlignment="1" applyProtection="1">
      <alignment horizontal="center" vertical="center" wrapText="1"/>
      <protection hidden="1"/>
    </xf>
    <xf numFmtId="2" fontId="10" fillId="0" borderId="9" xfId="271" applyNumberFormat="1" applyFont="1" applyBorder="1" applyAlignment="1" applyProtection="1">
      <alignment horizontal="center" vertical="center" wrapText="1"/>
      <protection hidden="1"/>
    </xf>
    <xf numFmtId="0" fontId="3" fillId="0" borderId="10" xfId="271" applyFont="1" applyBorder="1" applyAlignment="1" applyProtection="1">
      <alignment vertical="center" wrapText="1"/>
      <protection hidden="1"/>
    </xf>
    <xf numFmtId="2" fontId="10" fillId="0" borderId="10" xfId="271" applyNumberFormat="1" applyFont="1" applyFill="1" applyBorder="1" applyAlignment="1" applyProtection="1">
      <alignment horizontal="center" vertical="center"/>
      <protection hidden="1"/>
    </xf>
    <xf numFmtId="0" fontId="10" fillId="0" borderId="10" xfId="271" applyNumberFormat="1" applyFont="1" applyBorder="1" applyAlignment="1" applyProtection="1">
      <alignment horizontal="center" vertical="center" wrapText="1"/>
      <protection hidden="1"/>
    </xf>
    <xf numFmtId="3" fontId="10" fillId="0" borderId="10" xfId="271" applyNumberFormat="1" applyFont="1" applyFill="1" applyBorder="1" applyAlignment="1" applyProtection="1">
      <alignment horizontal="center" vertical="center"/>
      <protection hidden="1"/>
    </xf>
    <xf numFmtId="172" fontId="10" fillId="0" borderId="10" xfId="271" applyNumberFormat="1" applyFont="1" applyFill="1" applyBorder="1" applyAlignment="1" applyProtection="1">
      <alignment horizontal="center" vertical="center"/>
      <protection hidden="1"/>
    </xf>
    <xf numFmtId="0" fontId="3" fillId="0" borderId="10" xfId="271" applyFont="1" applyFill="1" applyBorder="1" applyAlignment="1" applyProtection="1">
      <alignment horizontal="center" vertical="center" wrapText="1"/>
      <protection hidden="1"/>
    </xf>
    <xf numFmtId="2" fontId="10" fillId="0" borderId="10" xfId="271" applyNumberFormat="1" applyFont="1" applyFill="1" applyBorder="1" applyAlignment="1" applyProtection="1">
      <alignment horizontal="center" vertical="center" wrapText="1"/>
      <protection hidden="1"/>
    </xf>
    <xf numFmtId="4" fontId="10" fillId="0" borderId="10" xfId="271" applyNumberFormat="1" applyFont="1" applyFill="1" applyBorder="1" applyAlignment="1" applyProtection="1">
      <alignment horizontal="center" vertical="center"/>
      <protection hidden="1"/>
    </xf>
    <xf numFmtId="0" fontId="10" fillId="0" borderId="10" xfId="271" applyNumberFormat="1" applyFont="1" applyFill="1" applyBorder="1" applyAlignment="1" applyProtection="1">
      <alignment horizontal="center" vertical="center" wrapText="1"/>
      <protection hidden="1"/>
    </xf>
    <xf numFmtId="3" fontId="138" fillId="0" borderId="9" xfId="271" applyNumberFormat="1" applyFont="1" applyFill="1" applyBorder="1" applyAlignment="1" applyProtection="1">
      <alignment horizontal="center" vertical="center"/>
      <protection hidden="1"/>
    </xf>
    <xf numFmtId="0" fontId="10" fillId="0" borderId="10" xfId="271" applyFont="1" applyBorder="1" applyAlignment="1" applyProtection="1">
      <alignment horizontal="center" vertical="center" wrapText="1"/>
      <protection hidden="1"/>
    </xf>
    <xf numFmtId="0" fontId="3" fillId="0" borderId="10" xfId="271" applyFont="1" applyFill="1" applyBorder="1" applyAlignment="1" applyProtection="1">
      <alignment vertical="center"/>
      <protection hidden="1"/>
    </xf>
    <xf numFmtId="175" fontId="10" fillId="0" borderId="10" xfId="271" applyNumberFormat="1" applyFont="1" applyFill="1" applyBorder="1" applyAlignment="1" applyProtection="1">
      <alignment horizontal="center" vertical="center"/>
      <protection hidden="1"/>
    </xf>
    <xf numFmtId="3" fontId="10" fillId="0" borderId="10" xfId="271" applyNumberFormat="1" applyFont="1" applyBorder="1" applyAlignment="1" applyProtection="1">
      <alignment horizontal="center" vertical="center"/>
      <protection hidden="1"/>
    </xf>
    <xf numFmtId="3" fontId="138" fillId="0" borderId="10" xfId="271" applyNumberFormat="1" applyFont="1" applyBorder="1" applyAlignment="1" applyProtection="1">
      <alignment horizontal="center" vertical="center"/>
      <protection hidden="1"/>
    </xf>
    <xf numFmtId="0" fontId="3" fillId="0" borderId="10" xfId="271" applyFont="1" applyFill="1" applyBorder="1" applyAlignment="1" applyProtection="1">
      <alignment horizontal="center" vertical="center"/>
      <protection hidden="1"/>
    </xf>
    <xf numFmtId="2" fontId="10" fillId="0" borderId="3" xfId="271" applyNumberFormat="1" applyFont="1" applyFill="1" applyBorder="1" applyAlignment="1" applyProtection="1">
      <alignment horizontal="center" vertical="center"/>
      <protection hidden="1"/>
    </xf>
    <xf numFmtId="0" fontId="10" fillId="0" borderId="3" xfId="271" applyNumberFormat="1" applyFont="1" applyFill="1" applyBorder="1" applyAlignment="1" applyProtection="1">
      <alignment horizontal="center" vertical="center" wrapText="1"/>
      <protection hidden="1"/>
    </xf>
    <xf numFmtId="3" fontId="10" fillId="0" borderId="3" xfId="271" applyNumberFormat="1" applyFont="1" applyFill="1" applyBorder="1" applyAlignment="1" applyProtection="1">
      <alignment horizontal="center" vertical="center"/>
      <protection hidden="1"/>
    </xf>
    <xf numFmtId="0" fontId="3" fillId="0" borderId="9" xfId="271" applyFont="1" applyBorder="1" applyAlignment="1" applyProtection="1">
      <alignment horizontal="center" vertical="center" wrapText="1"/>
      <protection hidden="1"/>
    </xf>
    <xf numFmtId="0" fontId="10" fillId="0" borderId="9" xfId="271" applyFont="1" applyFill="1" applyBorder="1" applyAlignment="1" applyProtection="1">
      <alignment horizontal="center" vertical="center"/>
      <protection hidden="1"/>
    </xf>
    <xf numFmtId="0" fontId="3" fillId="0" borderId="10" xfId="271" applyFont="1" applyBorder="1" applyAlignment="1" applyProtection="1">
      <alignment horizontal="center" vertical="center"/>
      <protection hidden="1"/>
    </xf>
    <xf numFmtId="2" fontId="10" fillId="0" borderId="10" xfId="271" applyNumberFormat="1" applyFont="1" applyBorder="1" applyAlignment="1" applyProtection="1">
      <alignment horizontal="center" vertical="center"/>
      <protection hidden="1"/>
    </xf>
    <xf numFmtId="0" fontId="9" fillId="0" borderId="0" xfId="271" applyFont="1"/>
    <xf numFmtId="0" fontId="139" fillId="0" borderId="0" xfId="271" applyFont="1"/>
    <xf numFmtId="0" fontId="9" fillId="0" borderId="0" xfId="271" applyFont="1" applyBorder="1" applyAlignment="1" applyProtection="1">
      <alignment vertical="center"/>
      <protection hidden="1"/>
    </xf>
    <xf numFmtId="0" fontId="9" fillId="0" borderId="0" xfId="271" applyFont="1" applyBorder="1" applyAlignment="1" applyProtection="1">
      <alignment vertical="center" wrapText="1"/>
      <protection hidden="1"/>
    </xf>
    <xf numFmtId="0" fontId="63" fillId="0" borderId="0" xfId="271" applyFont="1"/>
    <xf numFmtId="0" fontId="140" fillId="0" borderId="0" xfId="271" applyFont="1" applyBorder="1" applyAlignment="1">
      <alignment vertical="center"/>
    </xf>
    <xf numFmtId="0" fontId="107" fillId="4" borderId="10" xfId="1" applyFont="1" applyFill="1" applyBorder="1" applyAlignment="1">
      <alignment horizontal="center" vertical="center" wrapText="1"/>
    </xf>
    <xf numFmtId="9" fontId="106" fillId="0" borderId="10" xfId="4" applyFont="1" applyBorder="1" applyAlignment="1">
      <alignment horizontal="center" vertical="center"/>
    </xf>
    <xf numFmtId="0" fontId="60" fillId="0" borderId="0" xfId="374" applyFont="1" applyBorder="1" applyAlignment="1" applyProtection="1">
      <alignment vertical="top"/>
      <protection hidden="1"/>
    </xf>
    <xf numFmtId="1" fontId="8" fillId="0" borderId="1" xfId="362" applyNumberFormat="1" applyFont="1" applyFill="1" applyBorder="1" applyAlignment="1" applyProtection="1">
      <alignment vertical="center" wrapText="1"/>
    </xf>
    <xf numFmtId="0" fontId="7" fillId="0" borderId="1" xfId="271" applyFont="1" applyBorder="1" applyAlignment="1"/>
    <xf numFmtId="1" fontId="3" fillId="0" borderId="1" xfId="377" applyNumberFormat="1" applyFont="1" applyFill="1" applyBorder="1" applyAlignment="1">
      <alignment vertical="center" wrapText="1"/>
    </xf>
    <xf numFmtId="2" fontId="9" fillId="0" borderId="29" xfId="271" applyNumberFormat="1" applyFont="1" applyBorder="1" applyAlignment="1">
      <alignment horizontal="center" vertical="center" wrapText="1"/>
    </xf>
    <xf numFmtId="2" fontId="9" fillId="0" borderId="13" xfId="271" applyNumberFormat="1" applyFont="1" applyBorder="1" applyAlignment="1">
      <alignment horizontal="center" vertical="center" wrapText="1"/>
    </xf>
    <xf numFmtId="2" fontId="9" fillId="0" borderId="34" xfId="271" applyNumberFormat="1" applyFont="1" applyBorder="1" applyAlignment="1">
      <alignment horizontal="center" vertical="center" wrapText="1"/>
    </xf>
    <xf numFmtId="2" fontId="9" fillId="0" borderId="2" xfId="271" applyNumberFormat="1" applyFont="1" applyBorder="1" applyAlignment="1">
      <alignment horizontal="center" vertical="center" wrapText="1"/>
    </xf>
    <xf numFmtId="0" fontId="9" fillId="0" borderId="10" xfId="271" applyFont="1" applyBorder="1" applyAlignment="1">
      <alignment horizontal="center" vertical="center" wrapText="1"/>
    </xf>
    <xf numFmtId="2" fontId="9" fillId="0" borderId="10" xfId="271" applyNumberFormat="1" applyFont="1" applyBorder="1" applyAlignment="1">
      <alignment horizontal="center" vertical="center" wrapText="1"/>
    </xf>
    <xf numFmtId="0" fontId="9" fillId="2" borderId="10" xfId="271" applyFont="1" applyFill="1" applyBorder="1" applyAlignment="1">
      <alignment horizontal="center" vertical="center" wrapText="1"/>
    </xf>
    <xf numFmtId="0" fontId="10" fillId="0" borderId="34" xfId="271" applyFont="1" applyBorder="1" applyAlignment="1">
      <alignment horizontal="center" vertical="center" wrapText="1"/>
    </xf>
    <xf numFmtId="2" fontId="10" fillId="0" borderId="34" xfId="271" applyNumberFormat="1" applyFont="1" applyBorder="1" applyAlignment="1">
      <alignment horizontal="center" vertical="center" wrapText="1"/>
    </xf>
    <xf numFmtId="0" fontId="10" fillId="0" borderId="13" xfId="271" applyFont="1" applyBorder="1" applyAlignment="1">
      <alignment horizontal="center" vertical="center" wrapText="1"/>
    </xf>
    <xf numFmtId="2" fontId="10" fillId="0" borderId="13" xfId="271" applyNumberFormat="1" applyFont="1" applyBorder="1" applyAlignment="1">
      <alignment horizontal="center" vertical="center" wrapText="1"/>
    </xf>
    <xf numFmtId="0" fontId="10" fillId="0" borderId="29" xfId="271" applyFont="1" applyBorder="1" applyAlignment="1">
      <alignment horizontal="center" vertical="center" wrapText="1"/>
    </xf>
    <xf numFmtId="2" fontId="10" fillId="0" borderId="29" xfId="271" applyNumberFormat="1" applyFont="1" applyBorder="1" applyAlignment="1">
      <alignment horizontal="center" vertical="center" wrapText="1"/>
    </xf>
    <xf numFmtId="2" fontId="10" fillId="0" borderId="9" xfId="271" applyNumberFormat="1" applyFont="1" applyBorder="1" applyAlignment="1">
      <alignment horizontal="center" vertical="center" wrapText="1"/>
    </xf>
    <xf numFmtId="0" fontId="10" fillId="0" borderId="10" xfId="271" applyFont="1" applyBorder="1" applyAlignment="1">
      <alignment horizontal="center" vertical="center" wrapText="1"/>
    </xf>
    <xf numFmtId="2" fontId="10" fillId="0" borderId="10" xfId="271" applyNumberFormat="1" applyFont="1" applyBorder="1" applyAlignment="1">
      <alignment horizontal="center" vertical="center" wrapText="1"/>
    </xf>
    <xf numFmtId="172" fontId="10" fillId="0" borderId="10" xfId="271" applyNumberFormat="1" applyFont="1" applyBorder="1" applyAlignment="1" applyProtection="1">
      <alignment horizontal="center" vertical="center" wrapText="1"/>
      <protection hidden="1"/>
    </xf>
    <xf numFmtId="2" fontId="9" fillId="0" borderId="9" xfId="271" applyNumberFormat="1" applyFont="1" applyBorder="1" applyAlignment="1">
      <alignment horizontal="center" vertical="center" wrapText="1"/>
    </xf>
    <xf numFmtId="0" fontId="10" fillId="0" borderId="9" xfId="271" applyFont="1" applyFill="1" applyBorder="1" applyAlignment="1">
      <alignment horizontal="center" vertical="center" wrapText="1"/>
    </xf>
    <xf numFmtId="2" fontId="10" fillId="0" borderId="10" xfId="271" applyNumberFormat="1" applyFont="1" applyFill="1" applyBorder="1" applyAlignment="1">
      <alignment horizontal="center" vertical="center" wrapText="1"/>
    </xf>
    <xf numFmtId="0" fontId="10" fillId="0" borderId="10" xfId="271" applyFont="1" applyFill="1" applyBorder="1" applyAlignment="1">
      <alignment horizontal="center" vertical="center" wrapText="1"/>
    </xf>
    <xf numFmtId="0" fontId="141" fillId="0" borderId="0" xfId="271" applyFont="1" applyBorder="1" applyAlignment="1">
      <alignment horizontal="left"/>
    </xf>
    <xf numFmtId="0" fontId="140" fillId="0" borderId="0" xfId="271" applyFont="1" applyBorder="1" applyAlignment="1"/>
    <xf numFmtId="0" fontId="141" fillId="0" borderId="0" xfId="271" applyFont="1" applyBorder="1" applyAlignment="1"/>
    <xf numFmtId="0" fontId="7" fillId="0" borderId="0" xfId="271" applyFont="1" applyBorder="1" applyAlignment="1" applyProtection="1">
      <alignment horizontal="left" vertical="top"/>
      <protection hidden="1"/>
    </xf>
    <xf numFmtId="0" fontId="9" fillId="0" borderId="0" xfId="271" applyFont="1" applyAlignment="1">
      <alignment vertical="center"/>
    </xf>
    <xf numFmtId="0" fontId="3" fillId="0" borderId="0" xfId="271" applyFont="1" applyAlignment="1">
      <alignment horizontal="center" vertical="center"/>
    </xf>
    <xf numFmtId="0" fontId="3" fillId="0" borderId="0" xfId="271" applyFont="1" applyAlignment="1">
      <alignment horizontal="right" vertical="center"/>
    </xf>
    <xf numFmtId="0" fontId="7" fillId="0" borderId="0" xfId="271" applyFont="1" applyAlignment="1">
      <alignment vertical="center"/>
    </xf>
    <xf numFmtId="0" fontId="89" fillId="0" borderId="0" xfId="298" applyFont="1"/>
    <xf numFmtId="0" fontId="89" fillId="0" borderId="0" xfId="298" applyFont="1" applyAlignment="1">
      <alignment horizontal="left"/>
    </xf>
    <xf numFmtId="0" fontId="17" fillId="0" borderId="0" xfId="298"/>
    <xf numFmtId="0" fontId="6" fillId="0" borderId="0" xfId="298" applyFont="1" applyAlignment="1">
      <alignment vertical="center" wrapText="1"/>
    </xf>
    <xf numFmtId="0" fontId="6" fillId="0" borderId="0" xfId="298" applyFont="1" applyAlignment="1">
      <alignment vertical="center"/>
    </xf>
    <xf numFmtId="0" fontId="6" fillId="0" borderId="0" xfId="298" applyFont="1" applyAlignment="1">
      <alignment horizontal="left" vertical="center" wrapText="1"/>
    </xf>
    <xf numFmtId="0" fontId="83" fillId="0" borderId="0" xfId="374" applyFont="1" applyBorder="1" applyAlignment="1" applyProtection="1">
      <alignment vertical="top"/>
      <protection hidden="1"/>
    </xf>
    <xf numFmtId="0" fontId="142" fillId="0" borderId="0" xfId="378" applyFont="1" applyAlignment="1">
      <alignment vertical="center"/>
    </xf>
    <xf numFmtId="1" fontId="143" fillId="0" borderId="1" xfId="362" applyNumberFormat="1" applyFont="1" applyFill="1" applyBorder="1" applyAlignment="1" applyProtection="1">
      <alignment vertical="center" wrapText="1"/>
    </xf>
    <xf numFmtId="0" fontId="142" fillId="0" borderId="0" xfId="298" applyFont="1" applyBorder="1"/>
    <xf numFmtId="0" fontId="73" fillId="0" borderId="1" xfId="298" applyFont="1" applyBorder="1" applyAlignment="1"/>
    <xf numFmtId="0" fontId="127" fillId="0" borderId="1" xfId="298" applyFont="1" applyBorder="1" applyAlignment="1"/>
    <xf numFmtId="0" fontId="12" fillId="2" borderId="9" xfId="298" applyFont="1" applyFill="1" applyBorder="1" applyAlignment="1" applyProtection="1">
      <alignment horizontal="center" vertical="center" wrapText="1"/>
      <protection hidden="1"/>
    </xf>
    <xf numFmtId="0" fontId="12" fillId="2" borderId="15" xfId="298" applyFont="1" applyFill="1" applyBorder="1" applyAlignment="1" applyProtection="1">
      <alignment horizontal="center" vertical="center" wrapText="1"/>
      <protection hidden="1"/>
    </xf>
    <xf numFmtId="0" fontId="12" fillId="2" borderId="10" xfId="298" applyFont="1" applyFill="1" applyBorder="1" applyAlignment="1" applyProtection="1">
      <alignment horizontal="center" vertical="center" wrapText="1"/>
      <protection hidden="1"/>
    </xf>
    <xf numFmtId="0" fontId="8" fillId="0" borderId="10" xfId="294" applyFont="1" applyBorder="1" applyAlignment="1" applyProtection="1">
      <alignment horizontal="center" vertical="center" wrapText="1"/>
      <protection hidden="1"/>
    </xf>
    <xf numFmtId="0" fontId="8" fillId="0" borderId="0" xfId="298" applyFont="1" applyBorder="1" applyAlignment="1" applyProtection="1">
      <alignment horizontal="center" vertical="center"/>
      <protection hidden="1"/>
    </xf>
    <xf numFmtId="0" fontId="12" fillId="0" borderId="0" xfId="298" applyFont="1" applyBorder="1" applyAlignment="1" applyProtection="1">
      <alignment horizontal="center" vertical="center" wrapText="1"/>
      <protection hidden="1"/>
    </xf>
    <xf numFmtId="172" fontId="8" fillId="0" borderId="0" xfId="298" applyNumberFormat="1" applyFont="1" applyBorder="1" applyAlignment="1" applyProtection="1">
      <alignment horizontal="center" vertical="center"/>
      <protection hidden="1"/>
    </xf>
    <xf numFmtId="4" fontId="8" fillId="0" borderId="0" xfId="298" applyNumberFormat="1" applyFont="1" applyFill="1" applyBorder="1" applyAlignment="1" applyProtection="1">
      <alignment horizontal="center" vertical="center"/>
      <protection hidden="1"/>
    </xf>
    <xf numFmtId="173" fontId="12" fillId="0" borderId="0" xfId="298" applyNumberFormat="1" applyFont="1" applyBorder="1" applyAlignment="1" applyProtection="1">
      <alignment horizontal="center" vertical="center" wrapText="1"/>
      <protection hidden="1"/>
    </xf>
    <xf numFmtId="4" fontId="3" fillId="0" borderId="0" xfId="298" applyNumberFormat="1" applyFont="1" applyFill="1" applyBorder="1" applyAlignment="1" applyProtection="1">
      <alignment horizontal="center" vertical="center"/>
      <protection hidden="1"/>
    </xf>
    <xf numFmtId="0" fontId="12" fillId="2" borderId="10" xfId="298" applyNumberFormat="1" applyFont="1" applyFill="1" applyBorder="1" applyAlignment="1" applyProtection="1">
      <alignment horizontal="center" vertical="center" wrapText="1"/>
      <protection hidden="1"/>
    </xf>
    <xf numFmtId="0" fontId="8" fillId="0" borderId="3" xfId="298" applyNumberFormat="1" applyFont="1" applyBorder="1" applyAlignment="1" applyProtection="1">
      <alignment horizontal="center" vertical="center" wrapText="1"/>
      <protection hidden="1"/>
    </xf>
    <xf numFmtId="0" fontId="8" fillId="0" borderId="11" xfId="298" applyNumberFormat="1" applyFont="1" applyBorder="1" applyAlignment="1" applyProtection="1">
      <alignment horizontal="center" vertical="center" wrapText="1"/>
      <protection hidden="1"/>
    </xf>
    <xf numFmtId="2" fontId="8" fillId="0" borderId="30" xfId="298" applyNumberFormat="1" applyFont="1" applyBorder="1" applyAlignment="1" applyProtection="1">
      <alignment horizontal="center" vertical="center"/>
      <protection hidden="1"/>
    </xf>
    <xf numFmtId="0" fontId="8" fillId="0" borderId="30" xfId="298" applyFont="1" applyBorder="1" applyAlignment="1" applyProtection="1">
      <alignment horizontal="center" vertical="center" wrapText="1"/>
      <protection hidden="1"/>
    </xf>
    <xf numFmtId="0" fontId="8" fillId="0" borderId="30" xfId="298" applyNumberFormat="1" applyFont="1" applyBorder="1" applyAlignment="1" applyProtection="1">
      <alignment horizontal="center" vertical="center" wrapText="1"/>
      <protection hidden="1"/>
    </xf>
    <xf numFmtId="0" fontId="8" fillId="0" borderId="33" xfId="298" applyNumberFormat="1" applyFont="1" applyBorder="1" applyAlignment="1" applyProtection="1">
      <alignment horizontal="center" vertical="center" wrapText="1"/>
      <protection hidden="1"/>
    </xf>
    <xf numFmtId="0" fontId="8" fillId="0" borderId="10" xfId="298" applyFont="1" applyBorder="1" applyAlignment="1" applyProtection="1">
      <alignment horizontal="center" vertical="center" wrapText="1"/>
      <protection hidden="1"/>
    </xf>
    <xf numFmtId="2" fontId="8" fillId="0" borderId="34" xfId="298" applyNumberFormat="1" applyFont="1" applyBorder="1" applyAlignment="1" applyProtection="1">
      <alignment horizontal="center" vertical="center"/>
      <protection hidden="1"/>
    </xf>
    <xf numFmtId="0" fontId="8" fillId="0" borderId="10" xfId="298" applyNumberFormat="1" applyFont="1" applyBorder="1" applyAlignment="1" applyProtection="1">
      <alignment horizontal="center" vertical="center" wrapText="1"/>
      <protection hidden="1"/>
    </xf>
    <xf numFmtId="0" fontId="8" fillId="0" borderId="34" xfId="298" applyFont="1" applyBorder="1" applyAlignment="1" applyProtection="1">
      <alignment horizontal="center" vertical="center" wrapText="1"/>
      <protection hidden="1"/>
    </xf>
    <xf numFmtId="2" fontId="8" fillId="0" borderId="13" xfId="298" applyNumberFormat="1" applyFont="1" applyBorder="1" applyAlignment="1" applyProtection="1">
      <alignment horizontal="center" vertical="center"/>
      <protection hidden="1"/>
    </xf>
    <xf numFmtId="0" fontId="8" fillId="0" borderId="13" xfId="298" applyFont="1" applyBorder="1" applyAlignment="1" applyProtection="1">
      <alignment horizontal="center" vertical="center" wrapText="1"/>
      <protection hidden="1"/>
    </xf>
    <xf numFmtId="0" fontId="8" fillId="0" borderId="13" xfId="298" applyNumberFormat="1" applyFont="1" applyBorder="1" applyAlignment="1" applyProtection="1">
      <alignment horizontal="center" vertical="center" wrapText="1"/>
      <protection hidden="1"/>
    </xf>
    <xf numFmtId="0" fontId="8" fillId="0" borderId="41" xfId="298" applyNumberFormat="1" applyFont="1" applyBorder="1" applyAlignment="1" applyProtection="1">
      <alignment horizontal="center" vertical="center" wrapText="1"/>
      <protection hidden="1"/>
    </xf>
    <xf numFmtId="0" fontId="8" fillId="0" borderId="3" xfId="298" applyNumberFormat="1" applyFont="1" applyBorder="1" applyAlignment="1" applyProtection="1">
      <alignment horizontal="center" vertical="center"/>
      <protection hidden="1"/>
    </xf>
    <xf numFmtId="0" fontId="8" fillId="0" borderId="10" xfId="298" applyFont="1" applyBorder="1" applyAlignment="1" applyProtection="1">
      <alignment horizontal="center" vertical="center"/>
      <protection hidden="1"/>
    </xf>
    <xf numFmtId="0" fontId="8" fillId="0" borderId="10" xfId="298" applyNumberFormat="1" applyFont="1" applyBorder="1" applyAlignment="1" applyProtection="1">
      <alignment horizontal="center" vertical="center"/>
      <protection hidden="1"/>
    </xf>
    <xf numFmtId="0" fontId="8" fillId="0" borderId="12" xfId="298" applyFont="1" applyBorder="1" applyAlignment="1" applyProtection="1">
      <alignment horizontal="center" vertical="center"/>
      <protection hidden="1"/>
    </xf>
    <xf numFmtId="0" fontId="12" fillId="0" borderId="12" xfId="294" applyFont="1" applyBorder="1" applyAlignment="1" applyProtection="1">
      <alignment horizontal="center" vertical="center" wrapText="1"/>
      <protection hidden="1"/>
    </xf>
    <xf numFmtId="2" fontId="8" fillId="0" borderId="12" xfId="298" applyNumberFormat="1" applyFont="1" applyBorder="1" applyAlignment="1" applyProtection="1">
      <alignment horizontal="center" vertical="center"/>
      <protection hidden="1"/>
    </xf>
    <xf numFmtId="0" fontId="8" fillId="0" borderId="12" xfId="298" applyFont="1" applyBorder="1" applyAlignment="1" applyProtection="1">
      <alignment horizontal="center" vertical="center" wrapText="1"/>
      <protection hidden="1"/>
    </xf>
    <xf numFmtId="3" fontId="8" fillId="0" borderId="12" xfId="298" applyNumberFormat="1" applyFont="1" applyBorder="1" applyAlignment="1" applyProtection="1">
      <alignment horizontal="center" vertical="center"/>
      <protection hidden="1"/>
    </xf>
    <xf numFmtId="0" fontId="12" fillId="2" borderId="2" xfId="298" applyNumberFormat="1" applyFont="1" applyFill="1" applyBorder="1" applyAlignment="1" applyProtection="1">
      <alignment horizontal="center" vertical="center" wrapText="1"/>
      <protection hidden="1"/>
    </xf>
    <xf numFmtId="0" fontId="8" fillId="0" borderId="10" xfId="298" applyFont="1" applyBorder="1" applyAlignment="1" applyProtection="1">
      <alignment vertical="center" wrapText="1"/>
      <protection hidden="1"/>
    </xf>
    <xf numFmtId="4" fontId="8" fillId="0" borderId="10" xfId="298" applyNumberFormat="1" applyFont="1" applyFill="1" applyBorder="1" applyAlignment="1" applyProtection="1">
      <alignment horizontal="center" vertical="center"/>
      <protection hidden="1"/>
    </xf>
    <xf numFmtId="3" fontId="8" fillId="0" borderId="10" xfId="298" applyNumberFormat="1" applyFont="1" applyBorder="1" applyAlignment="1" applyProtection="1">
      <alignment horizontal="center" vertical="center" wrapText="1"/>
      <protection hidden="1"/>
    </xf>
    <xf numFmtId="0" fontId="8" fillId="0" borderId="5" xfId="298" applyNumberFormat="1" applyFont="1" applyBorder="1" applyAlignment="1" applyProtection="1">
      <alignment horizontal="center" vertical="center"/>
      <protection hidden="1"/>
    </xf>
    <xf numFmtId="0" fontId="89" fillId="0" borderId="0" xfId="298" applyFont="1" applyBorder="1"/>
    <xf numFmtId="0" fontId="144" fillId="0" borderId="0" xfId="298" applyFont="1" applyBorder="1"/>
    <xf numFmtId="0" fontId="8" fillId="0" borderId="0" xfId="298" applyFont="1" applyBorder="1" applyAlignment="1" applyProtection="1">
      <alignment horizontal="center" vertical="center" wrapText="1"/>
      <protection hidden="1"/>
    </xf>
    <xf numFmtId="0" fontId="12" fillId="0" borderId="0" xfId="294" applyFont="1" applyBorder="1" applyAlignment="1" applyProtection="1">
      <alignment horizontal="center" vertical="center" wrapText="1"/>
      <protection hidden="1"/>
    </xf>
    <xf numFmtId="0" fontId="144" fillId="0" borderId="0" xfId="298" applyFont="1" applyBorder="1" applyAlignment="1">
      <alignment horizontal="left" wrapText="1"/>
    </xf>
    <xf numFmtId="0" fontId="8" fillId="0" borderId="0" xfId="294" applyFont="1" applyBorder="1" applyAlignment="1" applyProtection="1">
      <alignment horizontal="center" vertical="center" wrapText="1"/>
      <protection hidden="1"/>
    </xf>
    <xf numFmtId="0" fontId="144" fillId="0" borderId="0" xfId="298" applyFont="1"/>
    <xf numFmtId="3" fontId="8" fillId="0" borderId="0" xfId="298" applyNumberFormat="1" applyFont="1" applyBorder="1" applyAlignment="1" applyProtection="1">
      <alignment horizontal="center" vertical="center" wrapText="1"/>
      <protection hidden="1"/>
    </xf>
    <xf numFmtId="3" fontId="8" fillId="0" borderId="0" xfId="298" applyNumberFormat="1" applyFont="1" applyFill="1" applyBorder="1" applyAlignment="1" applyProtection="1">
      <alignment horizontal="center" vertical="center"/>
      <protection hidden="1"/>
    </xf>
    <xf numFmtId="0" fontId="12" fillId="3" borderId="2" xfId="294" applyFont="1" applyFill="1" applyBorder="1" applyAlignment="1" applyProtection="1">
      <alignment horizontal="center" vertical="center" wrapText="1"/>
      <protection hidden="1"/>
    </xf>
    <xf numFmtId="0" fontId="12" fillId="3" borderId="10" xfId="294" applyFont="1" applyFill="1" applyBorder="1" applyAlignment="1" applyProtection="1">
      <alignment horizontal="center" vertical="center" wrapText="1"/>
      <protection hidden="1"/>
    </xf>
    <xf numFmtId="0" fontId="7" fillId="0" borderId="0" xfId="298" applyFont="1" applyBorder="1" applyAlignment="1" applyProtection="1">
      <alignment vertical="center"/>
      <protection hidden="1"/>
    </xf>
    <xf numFmtId="0" fontId="144" fillId="0" borderId="2" xfId="298" applyFont="1" applyBorder="1" applyAlignment="1">
      <alignment horizontal="center" vertical="center"/>
    </xf>
    <xf numFmtId="3" fontId="127" fillId="0" borderId="0" xfId="298" applyNumberFormat="1" applyFont="1" applyBorder="1" applyAlignment="1" applyProtection="1">
      <alignment horizontal="center" vertical="center" wrapText="1"/>
      <protection hidden="1"/>
    </xf>
    <xf numFmtId="0" fontId="73" fillId="0" borderId="0" xfId="298" applyFont="1" applyBorder="1" applyAlignment="1" applyProtection="1">
      <alignment horizontal="center" vertical="center" wrapText="1"/>
      <protection hidden="1"/>
    </xf>
    <xf numFmtId="172" fontId="73" fillId="0" borderId="0" xfId="298" applyNumberFormat="1" applyFont="1" applyBorder="1" applyAlignment="1" applyProtection="1">
      <alignment horizontal="center" vertical="center"/>
      <protection hidden="1"/>
    </xf>
    <xf numFmtId="0" fontId="127" fillId="0" borderId="0" xfId="298" applyFont="1" applyBorder="1" applyAlignment="1" applyProtection="1">
      <alignment horizontal="center" vertical="center"/>
      <protection hidden="1"/>
    </xf>
    <xf numFmtId="4" fontId="127" fillId="0" borderId="0" xfId="298" applyNumberFormat="1" applyFont="1" applyFill="1" applyBorder="1" applyAlignment="1" applyProtection="1">
      <alignment horizontal="center" vertical="center"/>
      <protection hidden="1"/>
    </xf>
    <xf numFmtId="0" fontId="12" fillId="0" borderId="0" xfId="294" applyFont="1" applyBorder="1" applyAlignment="1" applyProtection="1">
      <alignment vertical="center"/>
      <protection hidden="1"/>
    </xf>
    <xf numFmtId="0" fontId="7" fillId="0" borderId="0" xfId="294" applyFont="1" applyAlignment="1">
      <alignment vertical="center" wrapText="1"/>
    </xf>
    <xf numFmtId="0" fontId="12" fillId="0" borderId="0" xfId="294" applyFont="1" applyAlignment="1">
      <alignment vertical="center" wrapText="1"/>
    </xf>
    <xf numFmtId="0" fontId="3" fillId="0" borderId="0" xfId="294" applyFont="1" applyAlignment="1">
      <alignment vertical="center" wrapText="1"/>
    </xf>
    <xf numFmtId="0" fontId="7" fillId="0" borderId="0" xfId="294" applyFont="1" applyAlignment="1">
      <alignment vertical="center"/>
    </xf>
    <xf numFmtId="0" fontId="147" fillId="0" borderId="0" xfId="298" applyFont="1"/>
    <xf numFmtId="1" fontId="118" fillId="0" borderId="1" xfId="362" applyNumberFormat="1" applyFont="1" applyFill="1" applyBorder="1" applyAlignment="1" applyProtection="1">
      <alignment vertical="center" wrapText="1"/>
    </xf>
    <xf numFmtId="0" fontId="116" fillId="0" borderId="0" xfId="271" applyFont="1"/>
    <xf numFmtId="0" fontId="41" fillId="0" borderId="0" xfId="271" applyFont="1" applyAlignment="1"/>
    <xf numFmtId="0" fontId="116" fillId="0" borderId="1" xfId="271" applyFont="1" applyBorder="1" applyAlignment="1"/>
    <xf numFmtId="14" fontId="116" fillId="0" borderId="1" xfId="271" applyNumberFormat="1" applyFont="1" applyBorder="1" applyAlignment="1"/>
    <xf numFmtId="0" fontId="107" fillId="2" borderId="10" xfId="271" applyFont="1" applyFill="1" applyBorder="1" applyAlignment="1">
      <alignment horizontal="center" vertical="center"/>
    </xf>
    <xf numFmtId="0" fontId="107" fillId="0" borderId="10" xfId="271" applyFont="1" applyFill="1" applyBorder="1" applyAlignment="1">
      <alignment horizontal="center" vertical="center"/>
    </xf>
    <xf numFmtId="0" fontId="106" fillId="0" borderId="10" xfId="271" applyFont="1" applyBorder="1" applyAlignment="1">
      <alignment horizontal="center" vertical="center"/>
    </xf>
    <xf numFmtId="0" fontId="106" fillId="0" borderId="10" xfId="271" applyNumberFormat="1" applyFont="1" applyBorder="1" applyAlignment="1">
      <alignment horizontal="center" vertical="center"/>
    </xf>
    <xf numFmtId="0" fontId="106" fillId="0" borderId="10" xfId="271" applyFont="1" applyBorder="1" applyAlignment="1">
      <alignment horizontal="center" vertical="center" wrapText="1"/>
    </xf>
    <xf numFmtId="0" fontId="106" fillId="0" borderId="0" xfId="271" applyFont="1"/>
    <xf numFmtId="0" fontId="106" fillId="0" borderId="34" xfId="271" applyFont="1" applyFill="1" applyBorder="1" applyAlignment="1">
      <alignment horizontal="center" vertical="center"/>
    </xf>
    <xf numFmtId="3" fontId="106" fillId="0" borderId="10" xfId="271" applyNumberFormat="1" applyFont="1" applyFill="1" applyBorder="1" applyAlignment="1">
      <alignment horizontal="center" vertical="center"/>
    </xf>
    <xf numFmtId="0" fontId="106" fillId="0" borderId="13" xfId="271" applyFont="1" applyBorder="1" applyAlignment="1">
      <alignment horizontal="center" vertical="center"/>
    </xf>
    <xf numFmtId="3" fontId="106" fillId="0" borderId="10" xfId="271" applyNumberFormat="1" applyFont="1" applyBorder="1" applyAlignment="1">
      <alignment horizontal="center" vertical="center"/>
    </xf>
    <xf numFmtId="0" fontId="106" fillId="0" borderId="0" xfId="271" applyFont="1" applyAlignment="1">
      <alignment horizontal="center"/>
    </xf>
    <xf numFmtId="0" fontId="106" fillId="0" borderId="0" xfId="271" applyFont="1" applyBorder="1" applyAlignment="1">
      <alignment horizontal="center" vertical="center"/>
    </xf>
    <xf numFmtId="0" fontId="107" fillId="2" borderId="10" xfId="271" applyFont="1" applyFill="1" applyBorder="1" applyAlignment="1">
      <alignment horizontal="center"/>
    </xf>
    <xf numFmtId="3" fontId="106" fillId="0" borderId="10" xfId="271" applyNumberFormat="1" applyFont="1" applyBorder="1" applyAlignment="1">
      <alignment horizontal="center"/>
    </xf>
    <xf numFmtId="0" fontId="106" fillId="0" borderId="10" xfId="271" applyFont="1" applyBorder="1" applyAlignment="1">
      <alignment horizontal="center"/>
    </xf>
    <xf numFmtId="0" fontId="116" fillId="0" borderId="0" xfId="271" applyFont="1" applyFill="1" applyBorder="1" applyAlignment="1">
      <alignment horizontal="center"/>
    </xf>
    <xf numFmtId="0" fontId="12" fillId="0" borderId="0" xfId="271" applyFont="1" applyBorder="1" applyAlignment="1" applyProtection="1">
      <alignment vertical="center"/>
      <protection hidden="1"/>
    </xf>
    <xf numFmtId="0" fontId="12" fillId="0" borderId="0" xfId="271" applyFont="1"/>
    <xf numFmtId="0" fontId="116" fillId="0" borderId="0" xfId="1" applyFont="1" applyAlignment="1">
      <alignment vertical="center"/>
    </xf>
    <xf numFmtId="0" fontId="134" fillId="0" borderId="0" xfId="271" applyFont="1"/>
    <xf numFmtId="1" fontId="111" fillId="0" borderId="1" xfId="362" applyNumberFormat="1" applyFont="1" applyFill="1" applyBorder="1" applyAlignment="1" applyProtection="1">
      <alignment vertical="center" wrapText="1"/>
    </xf>
    <xf numFmtId="0" fontId="116" fillId="0" borderId="34" xfId="271" applyFont="1" applyFill="1" applyBorder="1" applyAlignment="1">
      <alignment horizontal="center" vertical="center"/>
    </xf>
    <xf numFmtId="0" fontId="116" fillId="0" borderId="30" xfId="271" applyFont="1" applyBorder="1" applyAlignment="1">
      <alignment horizontal="center" vertical="center"/>
    </xf>
    <xf numFmtId="0" fontId="116" fillId="0" borderId="30" xfId="271" applyFont="1" applyBorder="1" applyAlignment="1">
      <alignment horizontal="center" vertical="center" wrapText="1"/>
    </xf>
    <xf numFmtId="0" fontId="116" fillId="0" borderId="13" xfId="271" applyFont="1" applyBorder="1" applyAlignment="1">
      <alignment horizontal="center" vertical="center" wrapText="1"/>
    </xf>
    <xf numFmtId="0" fontId="3" fillId="0" borderId="0" xfId="271" applyFont="1" applyBorder="1" applyAlignment="1">
      <alignment horizontal="center"/>
    </xf>
    <xf numFmtId="0" fontId="116" fillId="0" borderId="0" xfId="271" applyFont="1" applyBorder="1" applyAlignment="1">
      <alignment horizontal="center" vertical="center" wrapText="1"/>
    </xf>
    <xf numFmtId="0" fontId="116" fillId="0" borderId="0" xfId="271" applyFont="1" applyFill="1" applyBorder="1" applyAlignment="1">
      <alignment horizontal="center" vertical="center" wrapText="1"/>
    </xf>
    <xf numFmtId="0" fontId="116" fillId="0" borderId="34" xfId="271" applyFont="1" applyBorder="1" applyAlignment="1">
      <alignment horizontal="center" vertical="center"/>
    </xf>
    <xf numFmtId="0" fontId="59" fillId="0" borderId="0" xfId="271" applyFont="1"/>
    <xf numFmtId="0" fontId="116" fillId="0" borderId="34" xfId="271" applyFont="1" applyBorder="1" applyAlignment="1">
      <alignment horizontal="center" vertical="center" wrapText="1"/>
    </xf>
    <xf numFmtId="2" fontId="68" fillId="0" borderId="0" xfId="271" applyNumberFormat="1" applyFont="1" applyBorder="1" applyAlignment="1">
      <alignment vertical="center" wrapText="1"/>
    </xf>
    <xf numFmtId="2" fontId="116" fillId="0" borderId="0" xfId="271" applyNumberFormat="1" applyFont="1" applyBorder="1" applyAlignment="1">
      <alignment horizontal="center" vertical="center" wrapText="1"/>
    </xf>
    <xf numFmtId="0" fontId="116" fillId="0" borderId="0" xfId="271" applyFont="1" applyFill="1" applyBorder="1" applyAlignment="1">
      <alignment horizontal="center" vertical="center"/>
    </xf>
    <xf numFmtId="0" fontId="41" fillId="0" borderId="3" xfId="271" applyFont="1" applyFill="1" applyBorder="1" applyAlignment="1">
      <alignment vertical="center"/>
    </xf>
    <xf numFmtId="0" fontId="41" fillId="0" borderId="7" xfId="271" applyFont="1" applyFill="1" applyBorder="1" applyAlignment="1">
      <alignment vertical="center"/>
    </xf>
    <xf numFmtId="0" fontId="116" fillId="0" borderId="29" xfId="271" applyFont="1" applyBorder="1" applyAlignment="1">
      <alignment horizontal="center" vertical="center" wrapText="1"/>
    </xf>
    <xf numFmtId="0" fontId="41" fillId="0" borderId="9" xfId="271" applyFont="1" applyFill="1" applyBorder="1" applyAlignment="1">
      <alignment vertical="center"/>
    </xf>
    <xf numFmtId="0" fontId="41" fillId="0" borderId="6" xfId="271" applyFont="1" applyFill="1" applyBorder="1" applyAlignment="1">
      <alignment vertical="center"/>
    </xf>
    <xf numFmtId="0" fontId="116" fillId="0" borderId="4" xfId="271" applyFont="1" applyFill="1" applyBorder="1" applyAlignment="1">
      <alignment horizontal="center" vertical="center" wrapText="1"/>
    </xf>
    <xf numFmtId="0" fontId="116" fillId="0" borderId="14" xfId="271" applyFont="1" applyFill="1" applyBorder="1" applyAlignment="1">
      <alignment horizontal="center" vertical="center" wrapText="1"/>
    </xf>
    <xf numFmtId="0" fontId="116" fillId="0" borderId="7" xfId="271" applyFont="1" applyBorder="1" applyAlignment="1">
      <alignment horizontal="center" vertical="center" wrapText="1"/>
    </xf>
    <xf numFmtId="0" fontId="116" fillId="0" borderId="6" xfId="271" applyFont="1" applyBorder="1" applyAlignment="1">
      <alignment horizontal="center" vertical="center"/>
    </xf>
    <xf numFmtId="0" fontId="116" fillId="0" borderId="0" xfId="271" applyFont="1" applyBorder="1" applyAlignment="1">
      <alignment horizontal="center" vertical="center"/>
    </xf>
    <xf numFmtId="2" fontId="68" fillId="0" borderId="10" xfId="271" applyNumberFormat="1" applyFont="1" applyBorder="1" applyAlignment="1">
      <alignment vertical="center" wrapText="1"/>
    </xf>
    <xf numFmtId="2" fontId="116" fillId="0" borderId="3" xfId="271" applyNumberFormat="1" applyFont="1" applyBorder="1" applyAlignment="1">
      <alignment horizontal="center" vertical="center" wrapText="1"/>
    </xf>
    <xf numFmtId="2" fontId="116" fillId="0" borderId="10" xfId="271" applyNumberFormat="1" applyFont="1" applyBorder="1" applyAlignment="1">
      <alignment horizontal="center" vertical="center" wrapText="1"/>
    </xf>
    <xf numFmtId="2" fontId="116" fillId="0" borderId="9" xfId="271" applyNumberFormat="1" applyFont="1" applyBorder="1" applyAlignment="1">
      <alignment horizontal="center" vertical="center" wrapText="1"/>
    </xf>
    <xf numFmtId="0" fontId="149" fillId="2" borderId="10" xfId="271" applyFont="1" applyFill="1" applyBorder="1" applyAlignment="1">
      <alignment horizontal="center" vertical="center" wrapText="1"/>
    </xf>
    <xf numFmtId="0" fontId="12" fillId="0" borderId="0" xfId="298" applyFont="1" applyBorder="1" applyAlignment="1" applyProtection="1">
      <alignment vertical="center" wrapText="1"/>
      <protection hidden="1"/>
    </xf>
    <xf numFmtId="0" fontId="116" fillId="0" borderId="0" xfId="298" applyFont="1" applyBorder="1" applyAlignment="1" applyProtection="1">
      <alignment vertical="center" wrapText="1"/>
      <protection hidden="1"/>
    </xf>
    <xf numFmtId="0" fontId="118" fillId="0" borderId="0" xfId="271" applyFont="1" applyBorder="1"/>
    <xf numFmtId="0" fontId="89" fillId="0" borderId="0" xfId="378" applyFont="1"/>
    <xf numFmtId="0" fontId="70" fillId="0" borderId="0" xfId="378" applyFont="1"/>
    <xf numFmtId="0" fontId="144" fillId="0" borderId="0" xfId="378" applyFont="1"/>
    <xf numFmtId="0" fontId="89" fillId="0" borderId="0" xfId="378" applyFont="1" applyAlignment="1">
      <alignment vertical="center"/>
    </xf>
    <xf numFmtId="0" fontId="8" fillId="0" borderId="0" xfId="271" applyFont="1" applyAlignment="1">
      <alignment vertical="center"/>
    </xf>
    <xf numFmtId="0" fontId="89" fillId="0" borderId="0" xfId="378" applyFont="1" applyBorder="1"/>
    <xf numFmtId="0" fontId="70" fillId="0" borderId="0" xfId="378" applyFont="1" applyBorder="1"/>
    <xf numFmtId="0" fontId="10" fillId="0" borderId="0" xfId="372" applyFont="1"/>
    <xf numFmtId="0" fontId="3" fillId="0" borderId="0" xfId="380" applyFont="1" applyAlignment="1">
      <alignment vertical="center"/>
    </xf>
    <xf numFmtId="1" fontId="62" fillId="0" borderId="1" xfId="362" applyNumberFormat="1" applyFont="1" applyFill="1" applyBorder="1" applyAlignment="1" applyProtection="1">
      <alignment horizontal="center" vertical="center" wrapText="1"/>
    </xf>
    <xf numFmtId="1" fontId="3" fillId="0" borderId="1" xfId="381" applyNumberFormat="1" applyFont="1" applyFill="1" applyBorder="1" applyAlignment="1">
      <alignment vertical="center"/>
    </xf>
    <xf numFmtId="0" fontId="7" fillId="0" borderId="0" xfId="380" applyFont="1" applyBorder="1" applyAlignment="1">
      <alignment vertical="center" wrapText="1"/>
    </xf>
    <xf numFmtId="0" fontId="3" fillId="0" borderId="0" xfId="380" applyFont="1" applyBorder="1" applyAlignment="1">
      <alignment vertical="center"/>
    </xf>
    <xf numFmtId="0" fontId="7" fillId="2" borderId="10" xfId="372" applyFont="1" applyFill="1" applyBorder="1" applyAlignment="1">
      <alignment vertical="center"/>
    </xf>
    <xf numFmtId="0" fontId="7" fillId="2" borderId="10" xfId="372" applyNumberFormat="1" applyFont="1" applyFill="1" applyBorder="1" applyAlignment="1">
      <alignment horizontal="center" vertical="center"/>
    </xf>
    <xf numFmtId="1" fontId="3" fillId="0" borderId="10" xfId="372" applyNumberFormat="1" applyFont="1" applyFill="1" applyBorder="1" applyAlignment="1">
      <alignment vertical="center"/>
    </xf>
    <xf numFmtId="1" fontId="3" fillId="0" borderId="10" xfId="380" applyNumberFormat="1" applyFont="1" applyFill="1" applyBorder="1" applyAlignment="1">
      <alignment horizontal="center" vertical="center"/>
    </xf>
    <xf numFmtId="1" fontId="3" fillId="0" borderId="10" xfId="372" applyNumberFormat="1" applyFont="1" applyFill="1" applyBorder="1" applyAlignment="1">
      <alignment horizontal="left" vertical="center"/>
    </xf>
    <xf numFmtId="1" fontId="3" fillId="0" borderId="10" xfId="372" applyNumberFormat="1" applyFont="1" applyBorder="1" applyAlignment="1">
      <alignment horizontal="left" vertical="center"/>
    </xf>
    <xf numFmtId="1" fontId="3" fillId="54" borderId="2" xfId="372" applyNumberFormat="1" applyFont="1" applyFill="1" applyBorder="1" applyAlignment="1">
      <alignment vertical="center" wrapText="1"/>
    </xf>
    <xf numFmtId="1" fontId="3" fillId="0" borderId="2" xfId="372" applyNumberFormat="1" applyFont="1" applyFill="1" applyBorder="1" applyAlignment="1">
      <alignment vertical="center" wrapText="1"/>
    </xf>
    <xf numFmtId="0" fontId="3" fillId="0" borderId="0" xfId="380" applyFont="1" applyAlignment="1">
      <alignment horizontal="left" vertical="top" wrapText="1"/>
    </xf>
    <xf numFmtId="0" fontId="3" fillId="0" borderId="0" xfId="372" applyFont="1" applyBorder="1" applyAlignment="1">
      <alignment horizontal="left" vertical="center" wrapText="1"/>
    </xf>
    <xf numFmtId="1" fontId="7" fillId="0" borderId="0" xfId="381" applyNumberFormat="1" applyFont="1" applyFill="1" applyBorder="1" applyAlignment="1">
      <alignment vertical="center" wrapText="1"/>
    </xf>
    <xf numFmtId="0" fontId="3" fillId="0" borderId="0" xfId="372" applyFont="1" applyAlignment="1">
      <alignment vertical="center"/>
    </xf>
    <xf numFmtId="0" fontId="152" fillId="0" borderId="6" xfId="380" applyFont="1" applyFill="1" applyBorder="1" applyAlignment="1">
      <alignment vertical="center" wrapText="1"/>
    </xf>
    <xf numFmtId="9" fontId="153" fillId="0" borderId="6" xfId="380" applyNumberFormat="1" applyFont="1" applyFill="1" applyBorder="1" applyAlignment="1">
      <alignment vertical="center"/>
    </xf>
    <xf numFmtId="0" fontId="3" fillId="0" borderId="0" xfId="380" applyFont="1"/>
    <xf numFmtId="0" fontId="127" fillId="0" borderId="0" xfId="380" applyFont="1"/>
    <xf numFmtId="0" fontId="10" fillId="0" borderId="0" xfId="2" applyFont="1" applyFill="1" applyAlignment="1">
      <alignment vertical="center"/>
    </xf>
    <xf numFmtId="0" fontId="10" fillId="0" borderId="1" xfId="2" applyFont="1" applyBorder="1" applyAlignment="1">
      <alignment horizontal="right"/>
    </xf>
    <xf numFmtId="0" fontId="3" fillId="0" borderId="0" xfId="2" applyFont="1" applyFill="1" applyAlignment="1">
      <alignment vertical="center"/>
    </xf>
    <xf numFmtId="3" fontId="3" fillId="0" borderId="0" xfId="2" applyNumberFormat="1" applyFont="1" applyFill="1" applyAlignment="1">
      <alignment vertical="center"/>
    </xf>
    <xf numFmtId="0" fontId="146" fillId="2" borderId="15" xfId="2" applyFont="1" applyFill="1" applyBorder="1" applyAlignment="1">
      <alignment horizontal="center" vertical="center"/>
    </xf>
    <xf numFmtId="0" fontId="7" fillId="0" borderId="0" xfId="2" applyFont="1" applyAlignment="1">
      <alignment vertical="center" wrapText="1"/>
    </xf>
    <xf numFmtId="0" fontId="146" fillId="3" borderId="2" xfId="276" applyFont="1" applyFill="1" applyBorder="1" applyAlignment="1"/>
    <xf numFmtId="0" fontId="146" fillId="2" borderId="10" xfId="2" applyFont="1" applyFill="1" applyBorder="1" applyAlignment="1">
      <alignment horizontal="center" vertical="center"/>
    </xf>
    <xf numFmtId="0" fontId="140" fillId="2" borderId="10" xfId="2" applyFont="1" applyFill="1" applyBorder="1" applyAlignment="1">
      <alignment horizontal="center" vertical="center"/>
    </xf>
    <xf numFmtId="0" fontId="146" fillId="3" borderId="12" xfId="2" applyFont="1" applyFill="1" applyBorder="1" applyAlignment="1">
      <alignment horizontal="left" vertical="center"/>
    </xf>
    <xf numFmtId="0" fontId="141" fillId="2" borderId="12" xfId="2" applyFont="1" applyFill="1" applyBorder="1" applyAlignment="1">
      <alignment horizontal="left" vertical="center"/>
    </xf>
    <xf numFmtId="0" fontId="140" fillId="2" borderId="11" xfId="2" applyFont="1" applyFill="1" applyBorder="1" applyAlignment="1">
      <alignment horizontal="center" vertical="center"/>
    </xf>
    <xf numFmtId="0" fontId="146" fillId="3" borderId="8" xfId="2" applyFont="1" applyFill="1" applyBorder="1" applyAlignment="1">
      <alignment horizontal="center" vertical="center"/>
    </xf>
    <xf numFmtId="0" fontId="146" fillId="2" borderId="8" xfId="2" applyFont="1" applyFill="1" applyBorder="1" applyAlignment="1">
      <alignment horizontal="center" vertical="center"/>
    </xf>
    <xf numFmtId="0" fontId="10" fillId="0" borderId="0" xfId="2" applyFont="1" applyBorder="1" applyAlignment="1">
      <alignment horizontal="center" vertical="center"/>
    </xf>
    <xf numFmtId="0" fontId="140" fillId="0" borderId="0" xfId="2" applyFont="1" applyBorder="1" applyAlignment="1">
      <alignment horizontal="left" vertical="center"/>
    </xf>
    <xf numFmtId="0" fontId="141" fillId="0" borderId="0" xfId="2" applyFont="1" applyBorder="1" applyAlignment="1">
      <alignment horizontal="left" vertical="center"/>
    </xf>
    <xf numFmtId="0" fontId="10" fillId="0" borderId="0" xfId="2" applyFont="1" applyAlignment="1">
      <alignment vertical="center"/>
    </xf>
    <xf numFmtId="0" fontId="9" fillId="0" borderId="0" xfId="282" applyFont="1" applyAlignment="1">
      <alignment vertical="center"/>
    </xf>
    <xf numFmtId="0" fontId="7" fillId="0" borderId="0" xfId="282" applyFont="1" applyAlignment="1">
      <alignment vertical="center"/>
    </xf>
    <xf numFmtId="0" fontId="10" fillId="0" borderId="0" xfId="282" applyFont="1" applyAlignment="1">
      <alignment vertical="center"/>
    </xf>
    <xf numFmtId="0" fontId="3" fillId="0" borderId="0" xfId="282" applyFont="1" applyAlignment="1">
      <alignment vertical="center"/>
    </xf>
    <xf numFmtId="0" fontId="141" fillId="0" borderId="0" xfId="2" applyFont="1" applyFill="1" applyBorder="1" applyAlignment="1">
      <alignment horizontal="center" vertical="center"/>
    </xf>
    <xf numFmtId="0" fontId="127" fillId="0" borderId="0" xfId="2" applyFont="1"/>
    <xf numFmtId="0" fontId="140" fillId="0" borderId="0" xfId="2" applyFont="1" applyFill="1" applyBorder="1" applyAlignment="1">
      <alignment horizontal="center" vertical="center"/>
    </xf>
    <xf numFmtId="9" fontId="3" fillId="0" borderId="0" xfId="4" applyFont="1" applyBorder="1" applyAlignment="1">
      <alignment horizontal="center" vertical="center"/>
    </xf>
    <xf numFmtId="9" fontId="10" fillId="0" borderId="0" xfId="4" applyFont="1" applyFill="1" applyBorder="1" applyAlignment="1">
      <alignment horizontal="center" vertical="center"/>
    </xf>
    <xf numFmtId="0" fontId="10" fillId="0" borderId="0" xfId="2" applyFont="1"/>
    <xf numFmtId="4" fontId="3" fillId="0" borderId="0" xfId="271" applyNumberFormat="1" applyFont="1" applyAlignment="1">
      <alignment vertical="center"/>
    </xf>
    <xf numFmtId="0" fontId="3" fillId="0" borderId="0" xfId="271" applyFont="1" applyFill="1" applyAlignment="1">
      <alignment vertical="center"/>
    </xf>
    <xf numFmtId="3" fontId="3" fillId="0" borderId="0" xfId="271" applyNumberFormat="1" applyFont="1" applyFill="1" applyAlignment="1">
      <alignment vertical="center"/>
    </xf>
    <xf numFmtId="0" fontId="146" fillId="2" borderId="10" xfId="271" applyFont="1" applyFill="1" applyBorder="1" applyAlignment="1">
      <alignment vertical="center"/>
    </xf>
    <xf numFmtId="0" fontId="7" fillId="0" borderId="0" xfId="271" applyFont="1" applyAlignment="1">
      <alignment vertical="center" wrapText="1"/>
    </xf>
    <xf numFmtId="0" fontId="146" fillId="0" borderId="34" xfId="271" applyFont="1" applyFill="1" applyBorder="1" applyAlignment="1">
      <alignment horizontal="center" vertical="center"/>
    </xf>
    <xf numFmtId="49" fontId="146" fillId="0" borderId="31" xfId="271" applyNumberFormat="1" applyFont="1" applyFill="1" applyBorder="1" applyAlignment="1">
      <alignment horizontal="center" vertical="center"/>
    </xf>
    <xf numFmtId="0" fontId="146" fillId="0" borderId="13" xfId="271" applyFont="1" applyFill="1" applyBorder="1" applyAlignment="1">
      <alignment horizontal="center" vertical="center"/>
    </xf>
    <xf numFmtId="0" fontId="146" fillId="0" borderId="34" xfId="271" applyFont="1" applyFill="1" applyBorder="1" applyAlignment="1">
      <alignment horizontal="center" vertical="center" wrapText="1"/>
    </xf>
    <xf numFmtId="0" fontId="146" fillId="0" borderId="30" xfId="271" applyFont="1" applyFill="1" applyBorder="1" applyAlignment="1">
      <alignment horizontal="center" vertical="center"/>
    </xf>
    <xf numFmtId="0" fontId="146" fillId="0" borderId="9" xfId="271" applyFont="1" applyFill="1" applyBorder="1" applyAlignment="1">
      <alignment horizontal="center" vertical="center"/>
    </xf>
    <xf numFmtId="0" fontId="146" fillId="0" borderId="10" xfId="271" applyFont="1" applyBorder="1" applyAlignment="1">
      <alignment vertical="center"/>
    </xf>
    <xf numFmtId="0" fontId="146" fillId="0" borderId="3" xfId="271" applyFont="1" applyFill="1" applyBorder="1" applyAlignment="1">
      <alignment horizontal="center" vertical="center"/>
    </xf>
    <xf numFmtId="0" fontId="146" fillId="3" borderId="10" xfId="271" applyFont="1" applyFill="1" applyBorder="1" applyAlignment="1">
      <alignment vertical="center"/>
    </xf>
    <xf numFmtId="0" fontId="144" fillId="3" borderId="10" xfId="271" applyFont="1" applyFill="1" applyBorder="1" applyAlignment="1">
      <alignment vertical="center"/>
    </xf>
    <xf numFmtId="0" fontId="146" fillId="0" borderId="7" xfId="271" applyFont="1" applyFill="1" applyBorder="1" applyAlignment="1">
      <alignment horizontal="center" vertical="center"/>
    </xf>
    <xf numFmtId="0" fontId="146" fillId="49" borderId="10" xfId="271" applyFont="1" applyFill="1" applyBorder="1" applyAlignment="1">
      <alignment vertical="center" wrapText="1"/>
    </xf>
    <xf numFmtId="0" fontId="146" fillId="0" borderId="10" xfId="271" applyFont="1" applyFill="1" applyBorder="1" applyAlignment="1">
      <alignment horizontal="center" vertical="center"/>
    </xf>
    <xf numFmtId="0" fontId="146" fillId="0" borderId="13" xfId="271" applyFont="1" applyFill="1" applyBorder="1" applyAlignment="1">
      <alignment horizontal="center" vertical="center" wrapText="1"/>
    </xf>
    <xf numFmtId="0" fontId="146" fillId="0" borderId="9" xfId="271" applyFont="1" applyBorder="1" applyAlignment="1">
      <alignment horizontal="center" vertical="center"/>
    </xf>
    <xf numFmtId="0" fontId="146" fillId="0" borderId="34" xfId="271" applyFont="1" applyBorder="1" applyAlignment="1">
      <alignment horizontal="center" vertical="center"/>
    </xf>
    <xf numFmtId="0" fontId="144" fillId="2" borderId="10" xfId="271" applyFont="1" applyFill="1" applyBorder="1" applyAlignment="1">
      <alignment vertical="center"/>
    </xf>
    <xf numFmtId="0" fontId="146" fillId="0" borderId="10" xfId="271" applyFont="1" applyBorder="1" applyAlignment="1">
      <alignment horizontal="center" vertical="center"/>
    </xf>
    <xf numFmtId="0" fontId="8" fillId="0" borderId="10" xfId="271" applyFont="1" applyBorder="1" applyAlignment="1">
      <alignment horizontal="center" vertical="center"/>
    </xf>
    <xf numFmtId="0" fontId="146" fillId="0" borderId="10" xfId="271" applyFont="1" applyBorder="1" applyAlignment="1">
      <alignment vertical="center" wrapText="1"/>
    </xf>
    <xf numFmtId="0" fontId="146" fillId="0" borderId="10" xfId="271" applyFont="1" applyBorder="1" applyAlignment="1">
      <alignment horizontal="left" vertical="center"/>
    </xf>
    <xf numFmtId="0" fontId="8" fillId="0" borderId="0" xfId="282" applyFont="1" applyAlignment="1">
      <alignment vertical="center"/>
    </xf>
    <xf numFmtId="0" fontId="10" fillId="0" borderId="0" xfId="271" applyFont="1" applyAlignment="1">
      <alignment vertical="center"/>
    </xf>
    <xf numFmtId="4" fontId="127" fillId="0" borderId="0" xfId="271" applyNumberFormat="1" applyFont="1"/>
    <xf numFmtId="9" fontId="8" fillId="0" borderId="10" xfId="4" applyFont="1" applyBorder="1" applyAlignment="1">
      <alignment horizontal="center" vertical="center"/>
    </xf>
    <xf numFmtId="1" fontId="44" fillId="0" borderId="0" xfId="362" applyNumberFormat="1" applyFont="1" applyFill="1" applyBorder="1" applyAlignment="1" applyProtection="1">
      <alignment vertical="center" wrapText="1"/>
    </xf>
    <xf numFmtId="14" fontId="44" fillId="0" borderId="0" xfId="271" applyNumberFormat="1" applyFont="1"/>
    <xf numFmtId="0" fontId="116" fillId="0" borderId="0" xfId="271" applyFont="1" applyAlignment="1">
      <alignment horizontal="center" vertical="center"/>
    </xf>
    <xf numFmtId="0" fontId="44" fillId="0" borderId="10" xfId="271" applyFont="1" applyBorder="1"/>
    <xf numFmtId="0" fontId="116" fillId="0" borderId="10" xfId="271" applyFont="1" applyBorder="1" applyAlignment="1">
      <alignment vertical="center"/>
    </xf>
    <xf numFmtId="0" fontId="112" fillId="0" borderId="10" xfId="271" applyFont="1" applyBorder="1" applyAlignment="1">
      <alignment horizontal="center" vertical="center"/>
    </xf>
    <xf numFmtId="0" fontId="76" fillId="0" borderId="10" xfId="271" applyFont="1" applyFill="1" applyBorder="1" applyAlignment="1" applyProtection="1">
      <alignment horizontal="center" vertical="center" wrapText="1"/>
      <protection hidden="1"/>
    </xf>
    <xf numFmtId="0" fontId="116" fillId="0" borderId="10" xfId="271" applyFont="1" applyFill="1" applyBorder="1" applyAlignment="1" applyProtection="1">
      <alignment horizontal="center" vertical="center"/>
      <protection hidden="1"/>
    </xf>
    <xf numFmtId="0" fontId="44" fillId="0" borderId="0" xfId="271" applyFont="1" applyFill="1"/>
    <xf numFmtId="0" fontId="116" fillId="0" borderId="10" xfId="271" applyFont="1" applyBorder="1" applyAlignment="1">
      <alignment horizontal="center" vertical="center" wrapText="1"/>
    </xf>
    <xf numFmtId="0" fontId="116" fillId="0" borderId="10" xfId="271" applyFont="1" applyBorder="1" applyAlignment="1">
      <alignment vertical="center" wrapText="1"/>
    </xf>
    <xf numFmtId="0" fontId="116" fillId="0" borderId="10" xfId="271" applyFont="1" applyFill="1" applyBorder="1" applyAlignment="1">
      <alignment vertical="center"/>
    </xf>
    <xf numFmtId="0" fontId="116" fillId="0" borderId="10" xfId="271" applyFont="1" applyFill="1" applyBorder="1" applyAlignment="1">
      <alignment vertical="center" wrapText="1"/>
    </xf>
    <xf numFmtId="0" fontId="44" fillId="0" borderId="0" xfId="271" applyFont="1" applyBorder="1"/>
    <xf numFmtId="0" fontId="112" fillId="0" borderId="10" xfId="271" applyFont="1" applyBorder="1" applyAlignment="1">
      <alignment vertical="center"/>
    </xf>
    <xf numFmtId="0" fontId="112" fillId="0" borderId="10" xfId="271" applyFont="1" applyFill="1" applyBorder="1" applyAlignment="1">
      <alignment vertical="center"/>
    </xf>
    <xf numFmtId="0" fontId="112" fillId="0" borderId="10" xfId="271" applyFont="1" applyBorder="1" applyAlignment="1">
      <alignment vertical="center" wrapText="1"/>
    </xf>
    <xf numFmtId="0" fontId="159" fillId="51" borderId="10" xfId="2" applyFont="1" applyFill="1" applyBorder="1" applyAlignment="1" applyProtection="1">
      <alignment horizontal="center" vertical="center" wrapText="1"/>
      <protection locked="0"/>
    </xf>
    <xf numFmtId="0" fontId="3" fillId="51" borderId="10" xfId="2" applyFont="1" applyFill="1" applyBorder="1" applyAlignment="1" applyProtection="1">
      <alignment horizontal="center" vertical="center" wrapText="1"/>
      <protection locked="0"/>
    </xf>
    <xf numFmtId="0" fontId="38" fillId="0" borderId="0" xfId="2" applyFont="1" applyAlignment="1" applyProtection="1">
      <protection locked="0"/>
    </xf>
    <xf numFmtId="0" fontId="8" fillId="0" borderId="0" xfId="298" applyFont="1" applyFill="1" applyBorder="1" applyAlignment="1" applyProtection="1">
      <alignment vertical="center" wrapText="1"/>
      <protection hidden="1"/>
    </xf>
    <xf numFmtId="0" fontId="12" fillId="0" borderId="0" xfId="298" applyFont="1" applyFill="1" applyBorder="1" applyAlignment="1" applyProtection="1">
      <alignment vertical="center" wrapText="1"/>
      <protection hidden="1"/>
    </xf>
    <xf numFmtId="172" fontId="8" fillId="0" borderId="0" xfId="298" applyNumberFormat="1" applyFont="1" applyFill="1" applyBorder="1" applyAlignment="1" applyProtection="1">
      <alignment horizontal="center" vertical="center"/>
      <protection hidden="1"/>
    </xf>
    <xf numFmtId="0" fontId="8" fillId="0" borderId="0" xfId="298" applyFont="1" applyFill="1" applyBorder="1" applyAlignment="1" applyProtection="1">
      <alignment horizontal="center" vertical="center" wrapText="1"/>
      <protection hidden="1"/>
    </xf>
    <xf numFmtId="9" fontId="122" fillId="0" borderId="10" xfId="1" applyNumberFormat="1" applyFont="1" applyBorder="1" applyAlignment="1">
      <alignment horizontal="center" vertical="center"/>
    </xf>
    <xf numFmtId="0" fontId="44" fillId="0" borderId="0" xfId="2" applyFont="1" applyProtection="1">
      <protection locked="0"/>
    </xf>
    <xf numFmtId="9" fontId="122" fillId="0" borderId="2" xfId="1" applyNumberFormat="1" applyFont="1" applyBorder="1" applyAlignment="1">
      <alignment horizontal="center" vertical="center"/>
    </xf>
    <xf numFmtId="0" fontId="161" fillId="0" borderId="0" xfId="271" applyFont="1"/>
    <xf numFmtId="0" fontId="41" fillId="0" borderId="0" xfId="271" applyFont="1" applyBorder="1" applyAlignment="1" applyProtection="1">
      <alignment vertical="center"/>
      <protection hidden="1"/>
    </xf>
    <xf numFmtId="0" fontId="94" fillId="0" borderId="10" xfId="366" applyFont="1" applyFill="1" applyBorder="1" applyAlignment="1">
      <alignment horizontal="center"/>
    </xf>
    <xf numFmtId="0" fontId="94" fillId="0" borderId="3" xfId="366" applyFont="1" applyFill="1" applyBorder="1" applyAlignment="1">
      <alignment horizontal="center"/>
    </xf>
    <xf numFmtId="0" fontId="38" fillId="0" borderId="0" xfId="1" applyFont="1" applyAlignment="1">
      <alignment vertical="center"/>
    </xf>
    <xf numFmtId="0" fontId="12" fillId="2" borderId="11" xfId="1" applyFont="1" applyFill="1" applyBorder="1" applyAlignment="1">
      <alignment horizontal="center" vertical="center"/>
    </xf>
    <xf numFmtId="1" fontId="12" fillId="3" borderId="10" xfId="3" applyNumberFormat="1" applyFont="1" applyFill="1" applyBorder="1" applyAlignment="1">
      <alignment horizontal="center" vertical="center"/>
    </xf>
    <xf numFmtId="0" fontId="3" fillId="0" borderId="0" xfId="2" applyFont="1" applyBorder="1" applyAlignment="1" applyProtection="1">
      <alignment horizontal="center" vertical="center" wrapText="1"/>
      <protection locked="0"/>
    </xf>
    <xf numFmtId="0" fontId="3" fillId="0" borderId="0" xfId="2" applyFont="1" applyBorder="1" applyAlignment="1" applyProtection="1">
      <alignment horizontal="center" vertical="center" wrapText="1"/>
      <protection hidden="1"/>
    </xf>
    <xf numFmtId="0" fontId="3" fillId="0" borderId="0" xfId="2" applyFont="1" applyFill="1" applyBorder="1" applyAlignment="1" applyProtection="1">
      <alignment horizontal="center" vertical="center" wrapText="1"/>
      <protection locked="0"/>
    </xf>
    <xf numFmtId="0" fontId="159" fillId="0" borderId="0" xfId="2" applyFont="1" applyFill="1" applyBorder="1" applyAlignment="1" applyProtection="1">
      <alignment horizontal="center" vertical="center" wrapText="1"/>
      <protection locked="0"/>
    </xf>
    <xf numFmtId="0" fontId="42" fillId="0" borderId="0" xfId="1" applyFont="1" applyFill="1" applyBorder="1" applyAlignment="1">
      <alignment horizontal="center" vertical="center" wrapText="1"/>
    </xf>
    <xf numFmtId="0" fontId="42" fillId="0" borderId="0" xfId="1" applyFont="1" applyFill="1" applyBorder="1" applyAlignment="1">
      <alignment vertical="center"/>
    </xf>
    <xf numFmtId="0" fontId="9" fillId="4" borderId="10" xfId="1" applyFont="1" applyFill="1" applyBorder="1" applyAlignment="1">
      <alignment horizontal="center" vertical="center"/>
    </xf>
    <xf numFmtId="9" fontId="10" fillId="0" borderId="10" xfId="1" applyNumberFormat="1" applyFont="1" applyBorder="1" applyAlignment="1">
      <alignment horizontal="center" vertical="center"/>
    </xf>
    <xf numFmtId="9" fontId="40" fillId="0" borderId="0" xfId="4" applyFont="1" applyFill="1" applyBorder="1" applyAlignment="1">
      <alignment vertical="center"/>
    </xf>
    <xf numFmtId="0" fontId="76" fillId="0" borderId="10" xfId="1" applyFont="1" applyFill="1" applyBorder="1" applyAlignment="1">
      <alignment horizontal="center" vertical="center"/>
    </xf>
    <xf numFmtId="0" fontId="41" fillId="0" borderId="9" xfId="271" applyFont="1" applyFill="1" applyBorder="1" applyAlignment="1" applyProtection="1">
      <alignment horizontal="center" vertical="center" wrapText="1"/>
      <protection hidden="1"/>
    </xf>
    <xf numFmtId="0" fontId="116" fillId="0" borderId="9" xfId="271" applyFont="1" applyFill="1" applyBorder="1" applyAlignment="1" applyProtection="1">
      <alignment horizontal="center" vertical="center"/>
      <protection hidden="1"/>
    </xf>
    <xf numFmtId="0" fontId="116" fillId="0" borderId="9" xfId="271" applyFont="1" applyFill="1" applyBorder="1" applyAlignment="1" applyProtection="1">
      <alignment horizontal="left" vertical="center"/>
      <protection hidden="1"/>
    </xf>
    <xf numFmtId="0" fontId="42" fillId="56" borderId="2" xfId="1" applyFont="1" applyFill="1" applyBorder="1" applyAlignment="1">
      <alignment horizontal="center" vertical="center" wrapText="1"/>
    </xf>
    <xf numFmtId="0" fontId="42" fillId="56" borderId="10" xfId="1" applyFont="1" applyFill="1" applyBorder="1" applyAlignment="1">
      <alignment horizontal="center" vertical="center" wrapText="1"/>
    </xf>
    <xf numFmtId="0" fontId="164" fillId="56" borderId="11" xfId="1" applyFont="1" applyFill="1" applyBorder="1" applyAlignment="1">
      <alignment horizontal="center" vertical="center"/>
    </xf>
    <xf numFmtId="0" fontId="12" fillId="56" borderId="11" xfId="1" applyFont="1" applyFill="1" applyBorder="1" applyAlignment="1">
      <alignment horizontal="center" vertical="center"/>
    </xf>
    <xf numFmtId="1" fontId="12" fillId="56" borderId="10" xfId="3" applyNumberFormat="1" applyFont="1" applyFill="1" applyBorder="1" applyAlignment="1">
      <alignment horizontal="center" vertical="center"/>
    </xf>
    <xf numFmtId="0" fontId="3" fillId="0" borderId="3" xfId="2" applyFont="1" applyFill="1" applyBorder="1" applyAlignment="1" applyProtection="1">
      <alignment horizontal="center"/>
      <protection locked="0"/>
    </xf>
    <xf numFmtId="0" fontId="7" fillId="3" borderId="10" xfId="2" applyFont="1" applyFill="1" applyBorder="1" applyAlignment="1" applyProtection="1">
      <protection locked="0"/>
    </xf>
    <xf numFmtId="0" fontId="3" fillId="3" borderId="10" xfId="2" applyFont="1" applyFill="1" applyBorder="1" applyAlignment="1" applyProtection="1">
      <alignment horizontal="center"/>
      <protection locked="0"/>
    </xf>
    <xf numFmtId="0" fontId="168" fillId="2" borderId="3" xfId="280" applyFont="1" applyFill="1" applyBorder="1" applyAlignment="1" applyProtection="1">
      <alignment horizontal="center" vertical="center"/>
      <protection locked="0"/>
    </xf>
    <xf numFmtId="0" fontId="168" fillId="2" borderId="3" xfId="280" applyFont="1" applyFill="1" applyBorder="1" applyAlignment="1" applyProtection="1">
      <alignment horizontal="center" vertical="center" wrapText="1"/>
      <protection locked="0"/>
    </xf>
    <xf numFmtId="0" fontId="169" fillId="0" borderId="0" xfId="0" applyFont="1"/>
    <xf numFmtId="0" fontId="173" fillId="0" borderId="0" xfId="271" applyFont="1" applyBorder="1" applyAlignment="1">
      <alignment vertical="center"/>
    </xf>
    <xf numFmtId="0" fontId="172" fillId="2" borderId="10" xfId="271" applyFont="1" applyFill="1" applyBorder="1" applyAlignment="1">
      <alignment horizontal="center" vertical="center"/>
    </xf>
    <xf numFmtId="0" fontId="172" fillId="2" borderId="9" xfId="271" applyFont="1" applyFill="1" applyBorder="1" applyAlignment="1" applyProtection="1">
      <alignment horizontal="center" vertical="center"/>
      <protection locked="0"/>
    </xf>
    <xf numFmtId="0" fontId="173" fillId="0" borderId="0" xfId="271" applyFont="1" applyFill="1" applyBorder="1" applyAlignment="1">
      <alignment vertical="center"/>
    </xf>
    <xf numFmtId="0" fontId="173" fillId="0" borderId="0" xfId="271" applyFont="1" applyFill="1" applyAlignment="1">
      <alignment vertical="center"/>
    </xf>
    <xf numFmtId="0" fontId="174" fillId="0" borderId="10" xfId="271" applyFont="1" applyBorder="1" applyAlignment="1">
      <alignment vertical="center" wrapText="1"/>
    </xf>
    <xf numFmtId="0" fontId="173" fillId="0" borderId="10" xfId="271" applyFont="1" applyBorder="1" applyAlignment="1">
      <alignment vertical="center"/>
    </xf>
    <xf numFmtId="2" fontId="174" fillId="0" borderId="10" xfId="271" applyNumberFormat="1" applyFont="1" applyBorder="1" applyAlignment="1">
      <alignment horizontal="center" vertical="center"/>
    </xf>
    <xf numFmtId="0" fontId="176" fillId="2" borderId="2" xfId="271" applyFont="1" applyFill="1" applyBorder="1" applyAlignment="1">
      <alignment vertical="center" wrapText="1"/>
    </xf>
    <xf numFmtId="0" fontId="176" fillId="2" borderId="4" xfId="271" applyFont="1" applyFill="1" applyBorder="1" applyAlignment="1">
      <alignment vertical="center" wrapText="1"/>
    </xf>
    <xf numFmtId="0" fontId="176" fillId="2" borderId="5" xfId="271" applyFont="1" applyFill="1" applyBorder="1" applyAlignment="1">
      <alignment vertical="center" wrapText="1"/>
    </xf>
    <xf numFmtId="0" fontId="175" fillId="0" borderId="2" xfId="271" applyFont="1" applyFill="1" applyBorder="1" applyAlignment="1">
      <alignment horizontal="left" vertical="center" wrapText="1"/>
    </xf>
    <xf numFmtId="0" fontId="173" fillId="0" borderId="3" xfId="271" applyFont="1" applyFill="1" applyBorder="1" applyAlignment="1">
      <alignment vertical="center"/>
    </xf>
    <xf numFmtId="0" fontId="173" fillId="0" borderId="7" xfId="271" applyFont="1" applyFill="1" applyBorder="1" applyAlignment="1">
      <alignment vertical="center"/>
    </xf>
    <xf numFmtId="0" fontId="178" fillId="2" borderId="10" xfId="271" applyFont="1" applyFill="1" applyBorder="1" applyAlignment="1">
      <alignment horizontal="center" vertical="center" wrapText="1"/>
    </xf>
    <xf numFmtId="0" fontId="100" fillId="0" borderId="0" xfId="372" applyFont="1" applyAlignment="1">
      <alignment vertical="center"/>
    </xf>
    <xf numFmtId="0" fontId="100" fillId="0" borderId="0" xfId="271" applyFont="1" applyFill="1" applyAlignment="1">
      <alignment vertical="center"/>
    </xf>
    <xf numFmtId="0" fontId="100" fillId="0" borderId="0" xfId="271" applyFont="1" applyAlignment="1">
      <alignment vertical="center"/>
    </xf>
    <xf numFmtId="0" fontId="100" fillId="0" borderId="0" xfId="271" applyFont="1" applyBorder="1" applyAlignment="1">
      <alignment horizontal="center" vertical="center"/>
    </xf>
    <xf numFmtId="0" fontId="100" fillId="0" borderId="0" xfId="271" applyFont="1" applyBorder="1" applyAlignment="1">
      <alignment vertical="center"/>
    </xf>
    <xf numFmtId="2" fontId="100" fillId="0" borderId="0" xfId="271" applyNumberFormat="1" applyFont="1" applyBorder="1" applyAlignment="1">
      <alignment horizontal="center" vertical="center"/>
    </xf>
    <xf numFmtId="0" fontId="100" fillId="0" borderId="0" xfId="1" applyFont="1" applyAlignment="1">
      <alignment vertical="center"/>
    </xf>
    <xf numFmtId="14" fontId="40" fillId="0" borderId="0" xfId="1" applyNumberFormat="1" applyFont="1" applyAlignment="1">
      <alignment horizontal="left" vertical="center"/>
    </xf>
    <xf numFmtId="0" fontId="60" fillId="0" borderId="0" xfId="374" applyFont="1" applyBorder="1" applyAlignment="1" applyProtection="1">
      <alignment vertical="center"/>
      <protection hidden="1"/>
    </xf>
    <xf numFmtId="0" fontId="89" fillId="0" borderId="0" xfId="366" applyFont="1" applyBorder="1" applyAlignment="1">
      <alignment horizontal="right" vertical="center"/>
    </xf>
    <xf numFmtId="0" fontId="6" fillId="0" borderId="10" xfId="365" applyFont="1" applyBorder="1" applyAlignment="1"/>
    <xf numFmtId="0" fontId="59" fillId="0" borderId="10" xfId="2" applyFont="1" applyFill="1" applyBorder="1" applyAlignment="1">
      <alignment vertical="center" wrapText="1"/>
    </xf>
    <xf numFmtId="0" fontId="127" fillId="0" borderId="10" xfId="2" applyFont="1" applyFill="1" applyBorder="1" applyAlignment="1">
      <alignment vertical="center" wrapText="1"/>
    </xf>
    <xf numFmtId="0" fontId="6" fillId="0" borderId="0" xfId="365" applyFont="1" applyFill="1"/>
    <xf numFmtId="0" fontId="78" fillId="0" borderId="0" xfId="0" applyFont="1" applyFill="1"/>
    <xf numFmtId="0" fontId="69" fillId="0" borderId="1" xfId="0" applyFont="1" applyFill="1" applyBorder="1" applyAlignment="1">
      <alignment vertical="center"/>
    </xf>
    <xf numFmtId="0" fontId="69" fillId="0" borderId="1" xfId="0" applyFont="1" applyFill="1" applyBorder="1" applyAlignment="1">
      <alignment horizontal="center" vertical="center"/>
    </xf>
    <xf numFmtId="0" fontId="69" fillId="0" borderId="0" xfId="0" applyFont="1" applyFill="1" applyAlignment="1">
      <alignment vertical="center"/>
    </xf>
    <xf numFmtId="0" fontId="78" fillId="0" borderId="0" xfId="0" applyFont="1" applyFill="1" applyAlignment="1">
      <alignment wrapText="1"/>
    </xf>
    <xf numFmtId="49" fontId="78" fillId="0" borderId="0" xfId="0" applyNumberFormat="1" applyFont="1" applyFill="1" applyAlignment="1">
      <alignment wrapText="1"/>
    </xf>
    <xf numFmtId="0" fontId="79" fillId="0" borderId="0" xfId="0" applyFont="1" applyFill="1" applyBorder="1" applyAlignment="1">
      <alignment vertical="center" textRotation="90" wrapText="1"/>
    </xf>
    <xf numFmtId="0" fontId="78" fillId="0" borderId="0" xfId="0" applyFont="1" applyFill="1" applyAlignment="1">
      <alignment vertical="center"/>
    </xf>
    <xf numFmtId="0" fontId="81" fillId="0" borderId="0" xfId="0" applyFont="1" applyFill="1" applyAlignment="1">
      <alignment vertical="center"/>
    </xf>
    <xf numFmtId="1" fontId="10" fillId="0" borderId="10" xfId="271" applyNumberFormat="1" applyFont="1" applyBorder="1" applyAlignment="1">
      <alignment horizontal="center" vertical="center"/>
    </xf>
    <xf numFmtId="0" fontId="113" fillId="0" borderId="0" xfId="271" applyFont="1" applyFill="1" applyBorder="1" applyAlignment="1">
      <alignment vertical="center"/>
    </xf>
    <xf numFmtId="1" fontId="113" fillId="0" borderId="0" xfId="271" applyNumberFormat="1" applyFont="1" applyBorder="1" applyAlignment="1">
      <alignment horizontal="center" vertical="center"/>
    </xf>
    <xf numFmtId="3" fontId="113" fillId="0" borderId="0" xfId="271" applyNumberFormat="1" applyFont="1" applyBorder="1" applyAlignment="1">
      <alignment horizontal="center" vertical="center"/>
    </xf>
    <xf numFmtId="2" fontId="172" fillId="0" borderId="10" xfId="271" applyNumberFormat="1" applyFont="1" applyFill="1" applyBorder="1" applyAlignment="1">
      <alignment horizontal="center" vertical="center" wrapText="1"/>
    </xf>
    <xf numFmtId="0" fontId="172" fillId="0" borderId="9" xfId="366" applyFont="1" applyFill="1" applyBorder="1" applyAlignment="1">
      <alignment horizontal="center" vertical="center" wrapText="1"/>
    </xf>
    <xf numFmtId="0" fontId="172" fillId="0" borderId="10" xfId="366" applyFont="1" applyFill="1" applyBorder="1" applyAlignment="1">
      <alignment horizontal="center" vertical="center" wrapText="1"/>
    </xf>
    <xf numFmtId="1" fontId="174" fillId="0" borderId="10" xfId="271" applyNumberFormat="1" applyFont="1" applyFill="1" applyBorder="1" applyAlignment="1">
      <alignment vertical="center"/>
    </xf>
    <xf numFmtId="0" fontId="64" fillId="4" borderId="10" xfId="1" applyFont="1" applyFill="1" applyBorder="1" applyAlignment="1">
      <alignment horizontal="center" vertical="center"/>
    </xf>
    <xf numFmtId="0" fontId="103" fillId="50" borderId="10" xfId="366" applyFont="1" applyFill="1" applyBorder="1" applyAlignment="1">
      <alignment horizontal="center" vertical="center"/>
    </xf>
    <xf numFmtId="0" fontId="64" fillId="4" borderId="10" xfId="1" applyFont="1" applyFill="1" applyBorder="1" applyAlignment="1">
      <alignment horizontal="center" vertical="center" wrapText="1"/>
    </xf>
    <xf numFmtId="0" fontId="168" fillId="2" borderId="10" xfId="280" applyFont="1" applyFill="1" applyBorder="1" applyAlignment="1" applyProtection="1">
      <alignment horizontal="center" vertical="center"/>
      <protection locked="0"/>
    </xf>
    <xf numFmtId="0" fontId="8" fillId="0" borderId="10" xfId="298" applyFont="1" applyBorder="1" applyAlignment="1" applyProtection="1">
      <alignment horizontal="center" vertical="center"/>
      <protection hidden="1"/>
    </xf>
    <xf numFmtId="0" fontId="31" fillId="0" borderId="0" xfId="384" applyFont="1" applyFill="1"/>
    <xf numFmtId="0" fontId="31" fillId="0" borderId="0" xfId="384" applyFont="1" applyFill="1" applyAlignment="1">
      <alignment horizontal="left"/>
    </xf>
    <xf numFmtId="0" fontId="58" fillId="0" borderId="0" xfId="277" applyFont="1" applyFill="1" applyBorder="1" applyAlignment="1"/>
    <xf numFmtId="0" fontId="68" fillId="0" borderId="0" xfId="277" applyFont="1" applyFill="1" applyBorder="1" applyAlignment="1"/>
    <xf numFmtId="0" fontId="57" fillId="42" borderId="3" xfId="386" applyFont="1" applyFill="1" applyBorder="1" applyAlignment="1">
      <alignment horizontal="center" vertical="center" wrapText="1"/>
    </xf>
    <xf numFmtId="0" fontId="57" fillId="42" borderId="3" xfId="384" applyFont="1" applyFill="1" applyBorder="1" applyAlignment="1">
      <alignment horizontal="center" vertical="center" wrapText="1"/>
    </xf>
    <xf numFmtId="0" fontId="57" fillId="42" borderId="3" xfId="277" applyFont="1" applyFill="1" applyBorder="1" applyAlignment="1">
      <alignment horizontal="center" vertical="center" wrapText="1"/>
    </xf>
    <xf numFmtId="0" fontId="185" fillId="0" borderId="0" xfId="384" applyFont="1" applyFill="1"/>
    <xf numFmtId="0" fontId="6" fillId="0" borderId="10" xfId="386" applyFont="1" applyFill="1" applyBorder="1" applyAlignment="1">
      <alignment horizontal="center" vertical="center" wrapText="1"/>
    </xf>
    <xf numFmtId="0" fontId="6" fillId="0" borderId="10" xfId="277" applyFont="1" applyFill="1" applyBorder="1" applyAlignment="1">
      <alignment horizontal="center" vertical="center"/>
    </xf>
    <xf numFmtId="0" fontId="186" fillId="0" borderId="0" xfId="384" applyFont="1" applyFill="1"/>
    <xf numFmtId="0" fontId="68" fillId="0" borderId="0" xfId="384" applyFont="1" applyFill="1" applyAlignment="1">
      <alignment horizontal="left"/>
    </xf>
    <xf numFmtId="0" fontId="68" fillId="0" borderId="0" xfId="384" applyFont="1" applyFill="1"/>
    <xf numFmtId="0" fontId="187" fillId="0" borderId="0" xfId="384" applyFont="1" applyFill="1"/>
    <xf numFmtId="0" fontId="31" fillId="0" borderId="0" xfId="384" applyFont="1" applyFill="1" applyBorder="1"/>
    <xf numFmtId="0" fontId="31" fillId="0" borderId="0" xfId="384" applyFont="1" applyFill="1" applyBorder="1" applyAlignment="1">
      <alignment horizontal="left"/>
    </xf>
    <xf numFmtId="0" fontId="185" fillId="0" borderId="0" xfId="384" applyFont="1" applyFill="1" applyBorder="1"/>
    <xf numFmtId="0" fontId="188" fillId="0" borderId="0" xfId="277" applyFont="1" applyAlignment="1">
      <alignment horizontal="center" readingOrder="1"/>
    </xf>
    <xf numFmtId="0" fontId="46" fillId="0" borderId="0" xfId="277" applyFont="1" applyAlignment="1"/>
    <xf numFmtId="0" fontId="31" fillId="0" borderId="0" xfId="384" applyFont="1" applyFill="1" applyAlignment="1">
      <alignment horizontal="justify"/>
    </xf>
    <xf numFmtId="0" fontId="6" fillId="0" borderId="10" xfId="277" applyFont="1" applyBorder="1" applyAlignment="1">
      <alignment horizontal="center" vertical="center" wrapText="1"/>
    </xf>
    <xf numFmtId="0" fontId="68" fillId="0" borderId="0" xfId="277" applyFont="1"/>
    <xf numFmtId="0" fontId="31" fillId="0" borderId="0" xfId="277" applyFont="1" applyFill="1" applyBorder="1"/>
    <xf numFmtId="0" fontId="57" fillId="42" borderId="11" xfId="386" applyFont="1" applyFill="1" applyBorder="1" applyAlignment="1">
      <alignment horizontal="center" vertical="center" wrapText="1"/>
    </xf>
    <xf numFmtId="0" fontId="73" fillId="0" borderId="0" xfId="388" applyFont="1" applyFill="1" applyBorder="1" applyAlignment="1">
      <alignment vertical="center"/>
    </xf>
    <xf numFmtId="0" fontId="73" fillId="0" borderId="0" xfId="388" applyFont="1" applyBorder="1" applyAlignment="1">
      <alignment vertical="center"/>
    </xf>
    <xf numFmtId="0" fontId="68" fillId="0" borderId="0" xfId="389" applyFont="1" applyAlignment="1">
      <alignment horizontal="left"/>
    </xf>
    <xf numFmtId="0" fontId="31" fillId="0" borderId="0" xfId="389" applyFont="1" applyFill="1" applyBorder="1"/>
    <xf numFmtId="1" fontId="68" fillId="0" borderId="0" xfId="371" applyNumberFormat="1" applyFont="1" applyFill="1" applyBorder="1" applyAlignment="1">
      <alignment vertical="center" wrapText="1"/>
    </xf>
    <xf numFmtId="1" fontId="31" fillId="0" borderId="0" xfId="371" applyNumberFormat="1" applyFont="1" applyFill="1" applyBorder="1" applyAlignment="1">
      <alignment vertical="center" wrapText="1"/>
    </xf>
    <xf numFmtId="0" fontId="31" fillId="0" borderId="0" xfId="275" applyFont="1" applyFill="1" applyBorder="1"/>
    <xf numFmtId="0" fontId="68" fillId="0" borderId="0" xfId="388" applyFont="1" applyFill="1" applyBorder="1" applyAlignment="1">
      <alignment vertical="center" wrapText="1"/>
    </xf>
    <xf numFmtId="0" fontId="68" fillId="42" borderId="43" xfId="388" applyFont="1" applyFill="1" applyBorder="1" applyAlignment="1">
      <alignment horizontal="center" vertical="center" wrapText="1"/>
    </xf>
    <xf numFmtId="0" fontId="58" fillId="0" borderId="0" xfId="388" applyFont="1" applyBorder="1" applyAlignment="1">
      <alignment vertical="center"/>
    </xf>
    <xf numFmtId="0" fontId="31" fillId="3" borderId="10" xfId="384" applyFont="1" applyFill="1" applyBorder="1"/>
    <xf numFmtId="0" fontId="72" fillId="3" borderId="10" xfId="384" applyFont="1" applyFill="1" applyBorder="1" applyAlignment="1">
      <alignment horizontal="center"/>
    </xf>
    <xf numFmtId="0" fontId="72" fillId="52" borderId="10" xfId="388" applyFont="1" applyFill="1" applyBorder="1" applyAlignment="1">
      <alignment horizontal="center" vertical="center" wrapText="1"/>
    </xf>
    <xf numFmtId="0" fontId="31" fillId="0" borderId="10" xfId="384" applyFont="1" applyFill="1" applyBorder="1"/>
    <xf numFmtId="0" fontId="74" fillId="0" borderId="10" xfId="384" applyFont="1" applyFill="1" applyBorder="1" applyAlignment="1">
      <alignment horizontal="left" vertical="center" wrapText="1"/>
    </xf>
    <xf numFmtId="0" fontId="74" fillId="0" borderId="10" xfId="384" applyFont="1" applyFill="1" applyBorder="1" applyAlignment="1">
      <alignment horizontal="center" vertical="center"/>
    </xf>
    <xf numFmtId="0" fontId="74" fillId="0" borderId="9" xfId="384" applyFont="1" applyFill="1" applyBorder="1" applyAlignment="1">
      <alignment horizontal="left" vertical="center" wrapText="1"/>
    </xf>
    <xf numFmtId="0" fontId="74" fillId="0" borderId="0" xfId="384" applyFont="1" applyFill="1" applyAlignment="1">
      <alignment horizontal="left"/>
    </xf>
    <xf numFmtId="0" fontId="74" fillId="0" borderId="0" xfId="384" applyFont="1" applyFill="1" applyAlignment="1">
      <alignment horizontal="right"/>
    </xf>
    <xf numFmtId="1" fontId="74" fillId="0" borderId="0" xfId="371" applyNumberFormat="1" applyFont="1" applyFill="1" applyBorder="1" applyAlignment="1">
      <alignment horizontal="right" vertical="center"/>
    </xf>
    <xf numFmtId="0" fontId="6" fillId="0" borderId="10" xfId="2" applyNumberFormat="1" applyFont="1" applyFill="1" applyBorder="1" applyAlignment="1" applyProtection="1">
      <alignment horizontal="center" vertical="center"/>
      <protection locked="0"/>
    </xf>
    <xf numFmtId="0" fontId="6" fillId="0" borderId="30" xfId="2" applyNumberFormat="1" applyFont="1" applyFill="1" applyBorder="1" applyAlignment="1" applyProtection="1">
      <alignment horizontal="center" vertical="center"/>
      <protection locked="0"/>
    </xf>
    <xf numFmtId="0" fontId="72" fillId="0" borderId="6" xfId="388" applyFont="1" applyFill="1" applyBorder="1" applyAlignment="1">
      <alignment vertical="center" wrapText="1"/>
    </xf>
    <xf numFmtId="0" fontId="74" fillId="0" borderId="74" xfId="275" applyFont="1" applyBorder="1" applyAlignment="1">
      <alignment horizontal="center" vertical="center" wrapText="1"/>
    </xf>
    <xf numFmtId="0" fontId="68" fillId="42" borderId="76" xfId="388" applyFont="1" applyFill="1" applyBorder="1" applyAlignment="1">
      <alignment horizontal="center" vertical="center"/>
    </xf>
    <xf numFmtId="0" fontId="68" fillId="42" borderId="77" xfId="388" applyFont="1" applyFill="1" applyBorder="1" applyAlignment="1">
      <alignment horizontal="center" vertical="center" wrapText="1"/>
    </xf>
    <xf numFmtId="0" fontId="68" fillId="42" borderId="10" xfId="388" applyFont="1" applyFill="1" applyBorder="1" applyAlignment="1">
      <alignment horizontal="center" vertical="center" wrapText="1"/>
    </xf>
    <xf numFmtId="0" fontId="68" fillId="42" borderId="10" xfId="379" applyFont="1" applyFill="1" applyBorder="1" applyAlignment="1">
      <alignment horizontal="center" vertical="center" wrapText="1"/>
    </xf>
    <xf numFmtId="0" fontId="146" fillId="0" borderId="2" xfId="284" applyFont="1" applyBorder="1" applyAlignment="1">
      <alignment vertical="center" wrapText="1"/>
    </xf>
    <xf numFmtId="0" fontId="140" fillId="0" borderId="2" xfId="284" applyFont="1" applyBorder="1" applyAlignment="1">
      <alignment vertical="center" wrapText="1"/>
    </xf>
    <xf numFmtId="0" fontId="3" fillId="0" borderId="10" xfId="2" applyFont="1" applyBorder="1" applyAlignment="1">
      <alignment vertical="center"/>
    </xf>
    <xf numFmtId="0" fontId="3" fillId="0" borderId="0" xfId="2" applyFont="1" applyAlignment="1" applyProtection="1">
      <alignment horizontal="center"/>
      <protection locked="0"/>
    </xf>
    <xf numFmtId="0" fontId="12" fillId="2" borderId="10" xfId="1" applyFont="1" applyFill="1" applyBorder="1" applyAlignment="1">
      <alignment horizontal="center" vertical="center"/>
    </xf>
    <xf numFmtId="0" fontId="40" fillId="0" borderId="12" xfId="1" applyFont="1" applyFill="1" applyBorder="1" applyAlignment="1">
      <alignment horizontal="center" vertical="center"/>
    </xf>
    <xf numFmtId="0" fontId="40" fillId="0" borderId="3" xfId="1" applyFont="1" applyFill="1" applyBorder="1" applyAlignment="1">
      <alignment horizontal="center" vertical="center"/>
    </xf>
    <xf numFmtId="166" fontId="40" fillId="0" borderId="3" xfId="1" applyNumberFormat="1" applyFont="1" applyFill="1" applyBorder="1" applyAlignment="1">
      <alignment horizontal="center" vertical="center" wrapText="1"/>
    </xf>
    <xf numFmtId="166" fontId="40" fillId="0" borderId="10" xfId="1" applyNumberFormat="1" applyFont="1" applyFill="1" applyBorder="1" applyAlignment="1">
      <alignment horizontal="center" vertical="center"/>
    </xf>
    <xf numFmtId="3" fontId="40" fillId="0" borderId="10" xfId="1" applyNumberFormat="1" applyFont="1" applyFill="1" applyBorder="1" applyAlignment="1">
      <alignment horizontal="center" vertical="center"/>
    </xf>
    <xf numFmtId="1" fontId="7" fillId="0" borderId="0" xfId="367" applyNumberFormat="1" applyFont="1" applyFill="1" applyBorder="1" applyAlignment="1" applyProtection="1">
      <alignment horizontal="center" vertical="center" wrapText="1"/>
      <protection locked="0"/>
    </xf>
    <xf numFmtId="0" fontId="3" fillId="3" borderId="7" xfId="2" applyFont="1" applyFill="1" applyBorder="1" applyAlignment="1" applyProtection="1">
      <alignment horizontal="center"/>
      <protection locked="0"/>
    </xf>
    <xf numFmtId="0" fontId="3" fillId="0" borderId="0" xfId="1" applyFont="1" applyBorder="1" applyAlignment="1" applyProtection="1">
      <alignment horizontal="center" vertical="center"/>
      <protection locked="0"/>
    </xf>
    <xf numFmtId="0" fontId="3" fillId="0" borderId="0" xfId="2" applyFont="1" applyBorder="1" applyAlignment="1" applyProtection="1">
      <alignment horizontal="center"/>
      <protection locked="0"/>
    </xf>
    <xf numFmtId="0" fontId="3" fillId="0" borderId="0" xfId="1" applyFont="1" applyAlignment="1" applyProtection="1">
      <alignment horizontal="center" vertical="center"/>
      <protection locked="0"/>
    </xf>
    <xf numFmtId="14" fontId="3" fillId="0" borderId="0" xfId="2" applyNumberFormat="1" applyFont="1" applyBorder="1" applyAlignment="1" applyProtection="1">
      <protection locked="0"/>
    </xf>
    <xf numFmtId="0" fontId="44" fillId="0" borderId="0" xfId="2" applyFont="1" applyProtection="1">
      <protection hidden="1"/>
    </xf>
    <xf numFmtId="0" fontId="44" fillId="0" borderId="0" xfId="2" applyFont="1" applyFill="1" applyBorder="1" applyProtection="1">
      <protection hidden="1"/>
    </xf>
    <xf numFmtId="0" fontId="190" fillId="0" borderId="0" xfId="2" applyFont="1" applyFill="1" applyBorder="1" applyProtection="1">
      <protection hidden="1"/>
    </xf>
    <xf numFmtId="0" fontId="44" fillId="0" borderId="0" xfId="2" applyFont="1" applyAlignment="1" applyProtection="1">
      <alignment vertical="center"/>
      <protection hidden="1"/>
    </xf>
    <xf numFmtId="0" fontId="44" fillId="0" borderId="0" xfId="2" applyFont="1" applyFill="1" applyBorder="1" applyAlignment="1" applyProtection="1">
      <alignment vertical="center"/>
      <protection hidden="1"/>
    </xf>
    <xf numFmtId="0" fontId="190" fillId="0" borderId="0" xfId="2" applyFont="1" applyFill="1" applyBorder="1" applyAlignment="1" applyProtection="1">
      <alignment vertical="center"/>
      <protection hidden="1"/>
    </xf>
    <xf numFmtId="0" fontId="75" fillId="0" borderId="0" xfId="1" applyFont="1" applyAlignment="1" applyProtection="1">
      <alignment vertical="center"/>
      <protection hidden="1"/>
    </xf>
    <xf numFmtId="1" fontId="44" fillId="0" borderId="1" xfId="362" applyNumberFormat="1" applyFont="1" applyFill="1" applyBorder="1" applyAlignment="1" applyProtection="1">
      <alignment horizontal="right" wrapText="1"/>
      <protection hidden="1"/>
    </xf>
    <xf numFmtId="1" fontId="44" fillId="0" borderId="0" xfId="362" applyNumberFormat="1" applyFont="1" applyFill="1" applyBorder="1" applyAlignment="1" applyProtection="1">
      <alignment horizontal="right" wrapText="1"/>
      <protection hidden="1"/>
    </xf>
    <xf numFmtId="0" fontId="44" fillId="0" borderId="0" xfId="2" applyFont="1" applyAlignment="1" applyProtection="1">
      <protection hidden="1"/>
    </xf>
    <xf numFmtId="0" fontId="44" fillId="0" borderId="1" xfId="2" applyFont="1" applyBorder="1" applyAlignment="1" applyProtection="1">
      <alignment horizontal="right"/>
      <protection hidden="1"/>
    </xf>
    <xf numFmtId="0" fontId="44" fillId="0" borderId="0" xfId="2" applyFont="1" applyFill="1" applyBorder="1" applyAlignment="1" applyProtection="1">
      <protection hidden="1"/>
    </xf>
    <xf numFmtId="0" fontId="190" fillId="0" borderId="0" xfId="2" applyFont="1" applyFill="1" applyBorder="1" applyAlignment="1" applyProtection="1">
      <protection hidden="1"/>
    </xf>
    <xf numFmtId="0" fontId="41" fillId="2" borderId="3" xfId="2" applyFont="1" applyFill="1" applyBorder="1" applyAlignment="1" applyProtection="1">
      <alignment horizontal="center" vertical="center"/>
      <protection hidden="1"/>
    </xf>
    <xf numFmtId="0" fontId="44" fillId="0" borderId="0" xfId="2" applyFont="1" applyFill="1" applyAlignment="1" applyProtection="1">
      <alignment vertical="center"/>
      <protection hidden="1"/>
    </xf>
    <xf numFmtId="1" fontId="44" fillId="0" borderId="0" xfId="2" applyNumberFormat="1" applyFont="1" applyFill="1" applyAlignment="1" applyProtection="1">
      <alignment horizontal="center" vertical="center"/>
      <protection hidden="1"/>
    </xf>
    <xf numFmtId="2" fontId="44" fillId="0" borderId="0" xfId="2" applyNumberFormat="1" applyFont="1" applyFill="1" applyAlignment="1" applyProtection="1">
      <alignment vertical="center"/>
      <protection hidden="1"/>
    </xf>
    <xf numFmtId="0" fontId="116" fillId="0" borderId="29" xfId="2" applyFont="1" applyFill="1" applyBorder="1" applyAlignment="1" applyProtection="1">
      <alignment vertical="center"/>
      <protection hidden="1"/>
    </xf>
    <xf numFmtId="0" fontId="116" fillId="0" borderId="36" xfId="2" applyFont="1" applyFill="1" applyBorder="1" applyAlignment="1" applyProtection="1">
      <alignment horizontal="center" vertical="center"/>
      <protection hidden="1"/>
    </xf>
    <xf numFmtId="172" fontId="116" fillId="0" borderId="29" xfId="2" applyNumberFormat="1" applyFont="1" applyFill="1" applyBorder="1" applyAlignment="1" applyProtection="1">
      <alignment horizontal="center" vertical="center"/>
      <protection hidden="1"/>
    </xf>
    <xf numFmtId="0" fontId="116" fillId="0" borderId="30" xfId="2" applyFont="1" applyFill="1" applyBorder="1" applyAlignment="1" applyProtection="1">
      <alignment vertical="center"/>
      <protection hidden="1"/>
    </xf>
    <xf numFmtId="172" fontId="116" fillId="0" borderId="30" xfId="2" applyNumberFormat="1" applyFont="1" applyFill="1" applyBorder="1" applyAlignment="1" applyProtection="1">
      <alignment horizontal="center" vertical="center"/>
      <protection hidden="1"/>
    </xf>
    <xf numFmtId="0" fontId="191" fillId="0" borderId="0" xfId="0" applyFont="1" applyFill="1" applyBorder="1" applyAlignment="1" applyProtection="1">
      <alignment horizontal="center" vertical="center" wrapText="1"/>
      <protection hidden="1"/>
    </xf>
    <xf numFmtId="0" fontId="190" fillId="0" borderId="0" xfId="0" applyFont="1" applyFill="1" applyBorder="1" applyAlignment="1" applyProtection="1">
      <alignment horizontal="center" vertical="center" wrapText="1"/>
      <protection hidden="1"/>
    </xf>
    <xf numFmtId="0" fontId="116" fillId="0" borderId="13" xfId="2" applyFont="1" applyFill="1" applyBorder="1" applyAlignment="1" applyProtection="1">
      <alignment vertical="center"/>
      <protection hidden="1"/>
    </xf>
    <xf numFmtId="0" fontId="116" fillId="0" borderId="35" xfId="2" applyFont="1" applyFill="1" applyBorder="1" applyAlignment="1" applyProtection="1">
      <alignment horizontal="center" vertical="center"/>
      <protection hidden="1"/>
    </xf>
    <xf numFmtId="172" fontId="116" fillId="0" borderId="13" xfId="2" applyNumberFormat="1" applyFont="1" applyFill="1" applyBorder="1" applyAlignment="1" applyProtection="1">
      <alignment horizontal="center" vertical="center"/>
      <protection hidden="1"/>
    </xf>
    <xf numFmtId="2" fontId="116" fillId="0" borderId="34" xfId="2" applyNumberFormat="1" applyFont="1" applyFill="1" applyBorder="1" applyAlignment="1" applyProtection="1">
      <alignment horizontal="center" vertical="center"/>
      <protection hidden="1"/>
    </xf>
    <xf numFmtId="0" fontId="116" fillId="0" borderId="30" xfId="2" applyFont="1" applyBorder="1" applyAlignment="1" applyProtection="1">
      <alignment horizontal="center" vertical="center"/>
      <protection hidden="1"/>
    </xf>
    <xf numFmtId="0" fontId="116" fillId="0" borderId="32" xfId="6" applyFont="1" applyFill="1" applyBorder="1" applyAlignment="1" applyProtection="1">
      <alignment horizontal="left" vertical="center"/>
      <protection hidden="1"/>
    </xf>
    <xf numFmtId="2" fontId="116" fillId="0" borderId="7" xfId="2" applyNumberFormat="1" applyFont="1" applyFill="1" applyBorder="1" applyAlignment="1" applyProtection="1">
      <alignment horizontal="center" vertical="center"/>
      <protection hidden="1"/>
    </xf>
    <xf numFmtId="0" fontId="192" fillId="0" borderId="0" xfId="0" applyFont="1" applyFill="1" applyBorder="1" applyProtection="1">
      <protection hidden="1"/>
    </xf>
    <xf numFmtId="0" fontId="116" fillId="0" borderId="31" xfId="2" applyFont="1" applyFill="1" applyBorder="1" applyAlignment="1" applyProtection="1">
      <alignment vertical="center"/>
      <protection hidden="1"/>
    </xf>
    <xf numFmtId="0" fontId="116" fillId="0" borderId="30" xfId="2" applyFont="1" applyFill="1" applyBorder="1" applyAlignment="1" applyProtection="1">
      <alignment horizontal="center" vertical="center"/>
      <protection hidden="1"/>
    </xf>
    <xf numFmtId="0" fontId="116" fillId="0" borderId="29" xfId="2" applyFont="1" applyBorder="1" applyAlignment="1" applyProtection="1">
      <alignment horizontal="center" vertical="center"/>
      <protection hidden="1"/>
    </xf>
    <xf numFmtId="0" fontId="190" fillId="0" borderId="0" xfId="2" applyFont="1" applyFill="1" applyBorder="1" applyAlignment="1" applyProtection="1">
      <alignment horizontal="left" vertical="center"/>
      <protection hidden="1"/>
    </xf>
    <xf numFmtId="0" fontId="190" fillId="0" borderId="0" xfId="0" applyFont="1" applyFill="1" applyBorder="1" applyAlignment="1" applyProtection="1">
      <alignment horizontal="center" vertical="center"/>
      <protection hidden="1"/>
    </xf>
    <xf numFmtId="0" fontId="116" fillId="0" borderId="37" xfId="2" applyFont="1" applyFill="1" applyBorder="1" applyAlignment="1" applyProtection="1">
      <alignment horizontal="center" vertical="center"/>
      <protection hidden="1"/>
    </xf>
    <xf numFmtId="172" fontId="116" fillId="0" borderId="31" xfId="2" applyNumberFormat="1" applyFont="1" applyFill="1" applyBorder="1" applyAlignment="1" applyProtection="1">
      <alignment horizontal="center" vertical="center"/>
      <protection hidden="1"/>
    </xf>
    <xf numFmtId="0" fontId="190" fillId="0" borderId="0" xfId="0" applyFont="1" applyFill="1" applyBorder="1" applyAlignment="1" applyProtection="1">
      <alignment horizontal="left" vertical="center"/>
      <protection hidden="1"/>
    </xf>
    <xf numFmtId="14" fontId="190" fillId="0" borderId="0" xfId="0" applyNumberFormat="1" applyFont="1" applyFill="1" applyBorder="1" applyAlignment="1" applyProtection="1">
      <alignment horizontal="center" vertical="center"/>
      <protection hidden="1"/>
    </xf>
    <xf numFmtId="0" fontId="116" fillId="0" borderId="34" xfId="6" applyFont="1" applyFill="1" applyBorder="1" applyAlignment="1" applyProtection="1">
      <alignment vertical="center"/>
      <protection hidden="1"/>
    </xf>
    <xf numFmtId="0" fontId="116" fillId="0" borderId="28" xfId="6" applyFont="1" applyFill="1" applyBorder="1" applyAlignment="1" applyProtection="1">
      <alignment horizontal="center" vertical="center"/>
      <protection hidden="1"/>
    </xf>
    <xf numFmtId="172" fontId="116" fillId="0" borderId="34" xfId="2" applyNumberFormat="1" applyFont="1" applyFill="1" applyBorder="1" applyAlignment="1" applyProtection="1">
      <alignment horizontal="center" vertical="center"/>
      <protection hidden="1"/>
    </xf>
    <xf numFmtId="0" fontId="116" fillId="0" borderId="30" xfId="6" applyFont="1" applyFill="1" applyBorder="1" applyAlignment="1" applyProtection="1">
      <alignment vertical="center"/>
      <protection hidden="1"/>
    </xf>
    <xf numFmtId="0" fontId="116" fillId="0" borderId="33" xfId="6" applyFont="1" applyFill="1" applyBorder="1" applyAlignment="1" applyProtection="1">
      <alignment horizontal="center" vertical="center"/>
      <protection hidden="1"/>
    </xf>
    <xf numFmtId="2" fontId="116" fillId="0" borderId="30" xfId="2" applyNumberFormat="1" applyFont="1" applyFill="1" applyBorder="1" applyAlignment="1" applyProtection="1">
      <alignment horizontal="center" vertical="center"/>
      <protection hidden="1"/>
    </xf>
    <xf numFmtId="0" fontId="116" fillId="0" borderId="9" xfId="6" applyFont="1" applyFill="1" applyBorder="1" applyAlignment="1" applyProtection="1">
      <alignment vertical="center"/>
      <protection hidden="1"/>
    </xf>
    <xf numFmtId="0" fontId="116" fillId="0" borderId="16" xfId="6" applyFont="1" applyFill="1" applyBorder="1" applyAlignment="1" applyProtection="1">
      <alignment horizontal="center" vertical="center"/>
      <protection hidden="1"/>
    </xf>
    <xf numFmtId="172" fontId="116" fillId="0" borderId="9" xfId="2" applyNumberFormat="1" applyFont="1" applyFill="1" applyBorder="1" applyAlignment="1" applyProtection="1">
      <alignment horizontal="center" vertical="center"/>
      <protection hidden="1"/>
    </xf>
    <xf numFmtId="0" fontId="116" fillId="0" borderId="13" xfId="6" applyFont="1" applyFill="1" applyBorder="1" applyAlignment="1" applyProtection="1">
      <alignment vertical="center"/>
      <protection hidden="1"/>
    </xf>
    <xf numFmtId="0" fontId="116" fillId="0" borderId="41" xfId="6" applyFont="1" applyFill="1" applyBorder="1" applyAlignment="1" applyProtection="1">
      <alignment horizontal="center" vertical="center"/>
      <protection hidden="1"/>
    </xf>
    <xf numFmtId="2" fontId="116" fillId="0" borderId="9" xfId="2" applyNumberFormat="1" applyFont="1" applyFill="1" applyBorder="1" applyAlignment="1" applyProtection="1">
      <alignment horizontal="center" vertical="center"/>
      <protection hidden="1"/>
    </xf>
    <xf numFmtId="0" fontId="116" fillId="0" borderId="13" xfId="2" applyFont="1" applyFill="1" applyBorder="1" applyAlignment="1" applyProtection="1">
      <alignment horizontal="center" vertical="center" wrapText="1"/>
      <protection hidden="1"/>
    </xf>
    <xf numFmtId="14" fontId="190" fillId="0" borderId="0" xfId="2" applyNumberFormat="1" applyFont="1" applyFill="1" applyBorder="1" applyAlignment="1" applyProtection="1">
      <alignment vertical="center"/>
      <protection hidden="1"/>
    </xf>
    <xf numFmtId="0" fontId="116" fillId="0" borderId="13" xfId="2" applyFont="1" applyFill="1" applyBorder="1" applyAlignment="1" applyProtection="1">
      <alignment horizontal="center" vertical="center"/>
      <protection hidden="1"/>
    </xf>
    <xf numFmtId="0" fontId="116" fillId="0" borderId="30" xfId="2" applyNumberFormat="1" applyFont="1" applyFill="1" applyBorder="1" applyAlignment="1" applyProtection="1">
      <alignment horizontal="center" vertical="center"/>
      <protection hidden="1"/>
    </xf>
    <xf numFmtId="0" fontId="116" fillId="0" borderId="29" xfId="2" applyFont="1" applyFill="1" applyBorder="1" applyAlignment="1" applyProtection="1">
      <alignment horizontal="center" vertical="center"/>
      <protection hidden="1"/>
    </xf>
    <xf numFmtId="0" fontId="116" fillId="0" borderId="29" xfId="2" applyNumberFormat="1" applyFont="1" applyFill="1" applyBorder="1" applyAlignment="1" applyProtection="1">
      <alignment horizontal="center" vertical="center"/>
      <protection hidden="1"/>
    </xf>
    <xf numFmtId="0" fontId="116" fillId="0" borderId="13" xfId="2" applyNumberFormat="1" applyFont="1" applyFill="1" applyBorder="1" applyAlignment="1" applyProtection="1">
      <alignment horizontal="center" vertical="center"/>
      <protection hidden="1"/>
    </xf>
    <xf numFmtId="0" fontId="44" fillId="0" borderId="0" xfId="2" applyFont="1" applyFill="1" applyAlignment="1" applyProtection="1">
      <alignment horizontal="center" vertical="center"/>
      <protection hidden="1"/>
    </xf>
    <xf numFmtId="0" fontId="116" fillId="0" borderId="34" xfId="2" applyNumberFormat="1" applyFont="1" applyFill="1" applyBorder="1" applyAlignment="1" applyProtection="1">
      <alignment horizontal="center" vertical="center"/>
      <protection hidden="1"/>
    </xf>
    <xf numFmtId="0" fontId="116" fillId="0" borderId="31" xfId="2" applyNumberFormat="1" applyFont="1" applyFill="1" applyBorder="1" applyAlignment="1" applyProtection="1">
      <alignment horizontal="center" vertical="center"/>
      <protection hidden="1"/>
    </xf>
    <xf numFmtId="1" fontId="44" fillId="0" borderId="0" xfId="2" applyNumberFormat="1" applyFont="1" applyFill="1" applyAlignment="1" applyProtection="1">
      <alignment vertical="center"/>
      <protection hidden="1"/>
    </xf>
    <xf numFmtId="1" fontId="190" fillId="0" borderId="0" xfId="2" applyNumberFormat="1" applyFont="1" applyFill="1" applyBorder="1" applyAlignment="1" applyProtection="1">
      <alignment vertical="center"/>
      <protection hidden="1"/>
    </xf>
    <xf numFmtId="0" fontId="116" fillId="0" borderId="9" xfId="2" applyFont="1" applyFill="1" applyBorder="1" applyAlignment="1" applyProtection="1">
      <alignment horizontal="center" vertical="center"/>
      <protection hidden="1"/>
    </xf>
    <xf numFmtId="0" fontId="193" fillId="0" borderId="0" xfId="0" applyFont="1" applyFill="1" applyBorder="1" applyAlignment="1" applyProtection="1">
      <alignment horizontal="center" vertical="center"/>
      <protection hidden="1"/>
    </xf>
    <xf numFmtId="0" fontId="192" fillId="0" borderId="0" xfId="0" applyFont="1" applyFill="1" applyBorder="1" applyAlignment="1" applyProtection="1">
      <alignment vertical="center"/>
      <protection hidden="1"/>
    </xf>
    <xf numFmtId="0" fontId="192" fillId="0" borderId="0" xfId="0" applyFont="1" applyFill="1" applyBorder="1" applyAlignment="1" applyProtection="1">
      <alignment horizontal="center" vertical="center"/>
      <protection hidden="1"/>
    </xf>
    <xf numFmtId="177" fontId="192" fillId="0" borderId="0" xfId="0" applyNumberFormat="1" applyFont="1" applyFill="1" applyBorder="1" applyAlignment="1" applyProtection="1">
      <alignment horizontal="center" vertical="center"/>
      <protection hidden="1"/>
    </xf>
    <xf numFmtId="0" fontId="194" fillId="0" borderId="0" xfId="0" applyFont="1" applyFill="1" applyBorder="1" applyAlignment="1" applyProtection="1">
      <alignment horizontal="left" vertical="center"/>
      <protection hidden="1"/>
    </xf>
    <xf numFmtId="1" fontId="116" fillId="0" borderId="13" xfId="2" applyNumberFormat="1" applyFont="1" applyFill="1" applyBorder="1" applyAlignment="1" applyProtection="1">
      <alignment horizontal="center" vertical="center"/>
      <protection hidden="1"/>
    </xf>
    <xf numFmtId="0" fontId="192" fillId="0" borderId="0" xfId="0" applyFont="1" applyFill="1" applyBorder="1" applyAlignment="1" applyProtection="1">
      <alignment horizontal="center"/>
      <protection hidden="1"/>
    </xf>
    <xf numFmtId="177" fontId="192" fillId="0" borderId="0" xfId="0" applyNumberFormat="1" applyFont="1" applyFill="1" applyBorder="1" applyAlignment="1" applyProtection="1">
      <alignment horizontal="center"/>
      <protection hidden="1"/>
    </xf>
    <xf numFmtId="1" fontId="192" fillId="0" borderId="0" xfId="0" applyNumberFormat="1" applyFont="1" applyFill="1" applyBorder="1" applyAlignment="1" applyProtection="1">
      <alignment horizontal="center"/>
      <protection hidden="1"/>
    </xf>
    <xf numFmtId="0" fontId="116" fillId="0" borderId="9" xfId="2" applyNumberFormat="1" applyFont="1" applyFill="1" applyBorder="1" applyAlignment="1" applyProtection="1">
      <alignment horizontal="center" vertical="center"/>
      <protection hidden="1"/>
    </xf>
    <xf numFmtId="0" fontId="59" fillId="0" borderId="0" xfId="2" applyFont="1" applyFill="1" applyAlignment="1" applyProtection="1">
      <alignment vertical="center"/>
      <protection hidden="1"/>
    </xf>
    <xf numFmtId="1" fontId="116" fillId="0" borderId="10" xfId="2" applyNumberFormat="1" applyFont="1" applyFill="1" applyBorder="1" applyAlignment="1" applyProtection="1">
      <alignment horizontal="center" vertical="center"/>
      <protection hidden="1"/>
    </xf>
    <xf numFmtId="0" fontId="44" fillId="0" borderId="0" xfId="1" applyFont="1" applyAlignment="1" applyProtection="1">
      <alignment vertical="center"/>
      <protection hidden="1"/>
    </xf>
    <xf numFmtId="0" fontId="166" fillId="0" borderId="0" xfId="2" applyFont="1" applyAlignment="1" applyProtection="1">
      <alignment vertical="center"/>
      <protection hidden="1"/>
    </xf>
    <xf numFmtId="0" fontId="44" fillId="0" borderId="0" xfId="1" applyFont="1" applyAlignment="1" applyProtection="1">
      <alignment horizontal="left" vertical="center" wrapText="1"/>
      <protection hidden="1"/>
    </xf>
    <xf numFmtId="0" fontId="167" fillId="0" borderId="0" xfId="1" applyFont="1" applyAlignment="1" applyProtection="1">
      <alignment vertical="center"/>
      <protection hidden="1"/>
    </xf>
    <xf numFmtId="0" fontId="166" fillId="0" borderId="0" xfId="1" applyFont="1" applyAlignment="1" applyProtection="1">
      <alignment vertical="center"/>
      <protection hidden="1"/>
    </xf>
    <xf numFmtId="0" fontId="76" fillId="0" borderId="6" xfId="1" applyFont="1" applyFill="1" applyBorder="1" applyAlignment="1" applyProtection="1">
      <alignment vertical="center"/>
      <protection hidden="1"/>
    </xf>
    <xf numFmtId="0" fontId="76" fillId="0" borderId="10" xfId="1" applyFont="1" applyFill="1" applyBorder="1" applyAlignment="1" applyProtection="1">
      <alignment vertical="center"/>
      <protection hidden="1"/>
    </xf>
    <xf numFmtId="9" fontId="44" fillId="0" borderId="2" xfId="1" applyNumberFormat="1" applyFont="1" applyFill="1" applyBorder="1" applyAlignment="1" applyProtection="1">
      <alignment horizontal="center" vertical="center"/>
      <protection hidden="1"/>
    </xf>
    <xf numFmtId="9" fontId="44" fillId="0" borderId="6" xfId="1" applyNumberFormat="1" applyFont="1" applyFill="1" applyBorder="1" applyAlignment="1" applyProtection="1">
      <alignment vertical="center"/>
      <protection hidden="1"/>
    </xf>
    <xf numFmtId="0" fontId="76" fillId="0" borderId="0" xfId="1" applyFont="1" applyFill="1" applyBorder="1" applyAlignment="1" applyProtection="1">
      <alignment vertical="center" wrapText="1"/>
      <protection hidden="1"/>
    </xf>
    <xf numFmtId="9" fontId="44" fillId="0" borderId="10" xfId="1" applyNumberFormat="1" applyFont="1" applyBorder="1" applyAlignment="1" applyProtection="1">
      <alignment horizontal="center" vertical="center"/>
      <protection hidden="1"/>
    </xf>
    <xf numFmtId="0" fontId="76" fillId="0" borderId="3" xfId="1" applyFont="1" applyFill="1" applyBorder="1" applyAlignment="1" applyProtection="1">
      <alignment vertical="center"/>
      <protection hidden="1"/>
    </xf>
    <xf numFmtId="9" fontId="44" fillId="0" borderId="0" xfId="1" applyNumberFormat="1" applyFont="1" applyFill="1" applyBorder="1" applyAlignment="1" applyProtection="1">
      <alignment vertical="center"/>
      <protection hidden="1"/>
    </xf>
    <xf numFmtId="0" fontId="76" fillId="0" borderId="3" xfId="1" applyFont="1" applyFill="1" applyBorder="1" applyAlignment="1" applyProtection="1">
      <alignment horizontal="left" vertical="center" wrapText="1"/>
      <protection hidden="1"/>
    </xf>
    <xf numFmtId="9" fontId="44" fillId="0" borderId="3" xfId="1" applyNumberFormat="1" applyFont="1" applyFill="1" applyBorder="1" applyAlignment="1" applyProtection="1">
      <alignment horizontal="center" vertical="center"/>
      <protection hidden="1"/>
    </xf>
    <xf numFmtId="9" fontId="44" fillId="0" borderId="2" xfId="1" applyNumberFormat="1" applyFont="1" applyBorder="1" applyAlignment="1" applyProtection="1">
      <alignment horizontal="center" vertical="center"/>
      <protection hidden="1"/>
    </xf>
    <xf numFmtId="0" fontId="76" fillId="0" borderId="10" xfId="2" applyFont="1" applyBorder="1" applyAlignment="1" applyProtection="1">
      <alignment vertical="center"/>
      <protection hidden="1"/>
    </xf>
    <xf numFmtId="9" fontId="44" fillId="0" borderId="0" xfId="1" applyNumberFormat="1" applyFont="1" applyFill="1" applyBorder="1" applyAlignment="1" applyProtection="1">
      <alignment horizontal="center" vertical="center"/>
      <protection hidden="1"/>
    </xf>
    <xf numFmtId="9" fontId="44" fillId="0" borderId="10" xfId="1" applyNumberFormat="1" applyFont="1" applyFill="1" applyBorder="1" applyAlignment="1" applyProtection="1">
      <alignment horizontal="center" vertical="center"/>
      <protection hidden="1"/>
    </xf>
    <xf numFmtId="0" fontId="86" fillId="0" borderId="0" xfId="2" applyFont="1" applyFill="1" applyBorder="1" applyAlignment="1" applyProtection="1">
      <alignment vertical="center"/>
      <protection hidden="1"/>
    </xf>
    <xf numFmtId="0" fontId="111" fillId="0" borderId="0" xfId="2" applyFont="1" applyAlignment="1" applyProtection="1">
      <alignment vertical="center"/>
      <protection hidden="1"/>
    </xf>
    <xf numFmtId="0" fontId="86" fillId="0" borderId="0" xfId="2" applyFont="1" applyAlignment="1" applyProtection="1">
      <alignment vertical="center"/>
      <protection hidden="1"/>
    </xf>
    <xf numFmtId="0" fontId="86" fillId="0" borderId="0" xfId="2" applyFont="1" applyFill="1" applyBorder="1" applyProtection="1">
      <protection hidden="1"/>
    </xf>
    <xf numFmtId="0" fontId="194" fillId="0" borderId="0" xfId="2" applyFont="1" applyFill="1" applyBorder="1" applyProtection="1">
      <protection hidden="1"/>
    </xf>
    <xf numFmtId="0" fontId="111" fillId="0" borderId="0" xfId="2" applyFont="1" applyProtection="1">
      <protection hidden="1"/>
    </xf>
    <xf numFmtId="0" fontId="86" fillId="0" borderId="0" xfId="2" applyFont="1" applyProtection="1">
      <protection hidden="1"/>
    </xf>
    <xf numFmtId="1" fontId="192" fillId="0" borderId="0" xfId="0" applyNumberFormat="1" applyFont="1" applyFill="1" applyBorder="1" applyAlignment="1" applyProtection="1">
      <alignment horizontal="center" vertical="center"/>
      <protection hidden="1"/>
    </xf>
    <xf numFmtId="0" fontId="116" fillId="0" borderId="34" xfId="6" applyFont="1" applyFill="1" applyBorder="1" applyAlignment="1" applyProtection="1">
      <alignment horizontal="center" vertical="center"/>
      <protection hidden="1"/>
    </xf>
    <xf numFmtId="0" fontId="116" fillId="0" borderId="31" xfId="6" applyFont="1" applyFill="1" applyBorder="1" applyAlignment="1" applyProtection="1">
      <alignment horizontal="center" vertical="center"/>
      <protection hidden="1"/>
    </xf>
    <xf numFmtId="0" fontId="40" fillId="0" borderId="10" xfId="362" applyFont="1" applyFill="1" applyBorder="1" applyAlignment="1" applyProtection="1">
      <alignment horizontal="center" vertical="center"/>
    </xf>
    <xf numFmtId="3" fontId="97" fillId="0" borderId="0" xfId="366" applyNumberFormat="1" applyFont="1" applyBorder="1" applyAlignment="1">
      <alignment horizontal="center" vertical="center"/>
    </xf>
    <xf numFmtId="0" fontId="89" fillId="0" borderId="0" xfId="378" applyFont="1" applyBorder="1" applyAlignment="1"/>
    <xf numFmtId="0" fontId="126" fillId="0" borderId="0" xfId="271" applyFont="1" applyBorder="1" applyAlignment="1">
      <alignment horizontal="right" vertical="center"/>
    </xf>
    <xf numFmtId="14" fontId="126" fillId="0" borderId="0" xfId="271" applyNumberFormat="1" applyFont="1" applyBorder="1" applyAlignment="1">
      <alignment horizontal="left" vertical="center"/>
    </xf>
    <xf numFmtId="0" fontId="78" fillId="0" borderId="10" xfId="0" applyFont="1" applyBorder="1" applyAlignment="1">
      <alignment vertical="center" wrapText="1"/>
    </xf>
    <xf numFmtId="0" fontId="78" fillId="0" borderId="10" xfId="0" applyFont="1" applyBorder="1" applyAlignment="1">
      <alignment vertical="center"/>
    </xf>
    <xf numFmtId="0" fontId="12" fillId="0" borderId="1" xfId="298" applyFont="1" applyBorder="1" applyAlignment="1"/>
    <xf numFmtId="0" fontId="8" fillId="0" borderId="1" xfId="298" applyFont="1" applyBorder="1" applyAlignment="1">
      <alignment horizontal="right"/>
    </xf>
    <xf numFmtId="0" fontId="44" fillId="0" borderId="12" xfId="271" applyFont="1" applyBorder="1" applyAlignment="1">
      <alignment vertical="center"/>
    </xf>
    <xf numFmtId="0" fontId="195" fillId="0" borderId="1" xfId="366" applyFont="1" applyBorder="1" applyAlignment="1">
      <alignment horizontal="right"/>
    </xf>
    <xf numFmtId="0" fontId="103" fillId="2" borderId="5" xfId="366" applyNumberFormat="1" applyFont="1" applyFill="1" applyBorder="1" applyAlignment="1">
      <alignment horizontal="center" vertical="center" wrapText="1"/>
    </xf>
    <xf numFmtId="0" fontId="196" fillId="0" borderId="10" xfId="366" applyFont="1" applyBorder="1" applyAlignment="1">
      <alignment horizontal="center" vertical="center" wrapText="1"/>
    </xf>
    <xf numFmtId="0" fontId="100" fillId="0" borderId="2" xfId="366" applyFont="1" applyBorder="1" applyAlignment="1">
      <alignment vertical="top" wrapText="1"/>
    </xf>
    <xf numFmtId="0" fontId="102" fillId="0" borderId="10" xfId="366" applyNumberFormat="1" applyFont="1" applyBorder="1" applyAlignment="1">
      <alignment horizontal="center" vertical="center"/>
    </xf>
    <xf numFmtId="0" fontId="196" fillId="0" borderId="10" xfId="366" applyFont="1" applyFill="1" applyBorder="1" applyAlignment="1">
      <alignment horizontal="center" vertical="center" wrapText="1"/>
    </xf>
    <xf numFmtId="0" fontId="102" fillId="0" borderId="2" xfId="366" applyFont="1" applyFill="1" applyBorder="1" applyAlignment="1">
      <alignment vertical="center" wrapText="1"/>
    </xf>
    <xf numFmtId="0" fontId="102" fillId="0" borderId="5" xfId="366" applyFont="1" applyFill="1" applyBorder="1" applyAlignment="1">
      <alignment vertical="center" wrapText="1"/>
    </xf>
    <xf numFmtId="0" fontId="102" fillId="0" borderId="5" xfId="366" applyNumberFormat="1" applyFont="1" applyFill="1" applyBorder="1" applyAlignment="1">
      <alignment horizontal="center" vertical="center"/>
    </xf>
    <xf numFmtId="0" fontId="102" fillId="0" borderId="5" xfId="366" applyNumberFormat="1" applyFont="1" applyBorder="1" applyAlignment="1">
      <alignment horizontal="center" vertical="center"/>
    </xf>
    <xf numFmtId="0" fontId="196" fillId="0" borderId="3" xfId="366" applyFont="1" applyBorder="1" applyAlignment="1">
      <alignment horizontal="center" vertical="center" wrapText="1"/>
    </xf>
    <xf numFmtId="0" fontId="102" fillId="0" borderId="8" xfId="366" applyFont="1" applyBorder="1" applyAlignment="1">
      <alignment vertical="top" wrapText="1"/>
    </xf>
    <xf numFmtId="0" fontId="102" fillId="0" borderId="11" xfId="366" applyFont="1" applyBorder="1" applyAlignment="1">
      <alignment vertical="top" wrapText="1"/>
    </xf>
    <xf numFmtId="0" fontId="102" fillId="0" borderId="3" xfId="366" applyNumberFormat="1" applyFont="1" applyBorder="1" applyAlignment="1">
      <alignment horizontal="center" vertical="center"/>
    </xf>
    <xf numFmtId="0" fontId="196" fillId="0" borderId="7" xfId="366" applyFont="1" applyBorder="1" applyAlignment="1">
      <alignment horizontal="center" vertical="center" wrapText="1"/>
    </xf>
    <xf numFmtId="0" fontId="102" fillId="0" borderId="7" xfId="366" applyNumberFormat="1" applyFont="1" applyBorder="1" applyAlignment="1">
      <alignment horizontal="center" vertical="center"/>
    </xf>
    <xf numFmtId="0" fontId="94" fillId="0" borderId="10" xfId="366" applyFont="1" applyBorder="1" applyAlignment="1"/>
    <xf numFmtId="0" fontId="100" fillId="0" borderId="8" xfId="366" applyFont="1" applyBorder="1" applyAlignment="1">
      <alignment vertical="top" wrapText="1"/>
    </xf>
    <xf numFmtId="0" fontId="100" fillId="0" borderId="0" xfId="1" applyFont="1" applyBorder="1" applyAlignment="1">
      <alignment horizontal="left" vertical="center" wrapText="1"/>
    </xf>
    <xf numFmtId="0" fontId="198" fillId="0" borderId="0" xfId="1" applyFont="1" applyBorder="1" applyAlignment="1">
      <alignment horizontal="left" vertical="center" wrapText="1"/>
    </xf>
    <xf numFmtId="0" fontId="105" fillId="0" borderId="0" xfId="2" applyFont="1" applyBorder="1" applyAlignment="1">
      <alignment horizontal="left"/>
    </xf>
    <xf numFmtId="0" fontId="100" fillId="0" borderId="0" xfId="2" applyFont="1" applyBorder="1" applyAlignment="1">
      <alignment horizontal="left"/>
    </xf>
    <xf numFmtId="0" fontId="102" fillId="0" borderId="0" xfId="366" applyFont="1"/>
    <xf numFmtId="0" fontId="100" fillId="0" borderId="0" xfId="1" applyFont="1" applyBorder="1" applyAlignment="1">
      <alignment wrapText="1"/>
    </xf>
    <xf numFmtId="0" fontId="198" fillId="0" borderId="0" xfId="1" applyFont="1" applyBorder="1" applyAlignment="1">
      <alignment wrapText="1"/>
    </xf>
    <xf numFmtId="0" fontId="146" fillId="2" borderId="3" xfId="378" applyFont="1" applyFill="1" applyBorder="1" applyAlignment="1">
      <alignment horizontal="center" wrapText="1"/>
    </xf>
    <xf numFmtId="0" fontId="8" fillId="0" borderId="46" xfId="378" applyFont="1" applyFill="1" applyBorder="1" applyAlignment="1">
      <alignment wrapText="1"/>
    </xf>
    <xf numFmtId="0" fontId="12" fillId="0" borderId="46" xfId="378" applyFont="1" applyFill="1" applyBorder="1" applyAlignment="1">
      <alignment horizontal="center" vertical="center" wrapText="1"/>
    </xf>
    <xf numFmtId="0" fontId="8" fillId="0" borderId="50" xfId="378" applyFont="1" applyFill="1" applyBorder="1" applyAlignment="1">
      <alignment wrapText="1"/>
    </xf>
    <xf numFmtId="2" fontId="12" fillId="0" borderId="50" xfId="170" applyNumberFormat="1" applyFont="1" applyFill="1" applyBorder="1" applyAlignment="1">
      <alignment horizontal="center" vertical="center" wrapText="1"/>
    </xf>
    <xf numFmtId="0" fontId="144" fillId="0" borderId="9" xfId="378" applyFont="1" applyBorder="1" applyAlignment="1">
      <alignment horizontal="left" vertical="center" wrapText="1"/>
    </xf>
    <xf numFmtId="2" fontId="12" fillId="0" borderId="34" xfId="170" applyNumberFormat="1" applyFont="1" applyFill="1" applyBorder="1" applyAlignment="1">
      <alignment horizontal="center" vertical="center" wrapText="1"/>
    </xf>
    <xf numFmtId="49" fontId="12" fillId="0" borderId="10" xfId="170" applyNumberFormat="1" applyFont="1" applyFill="1" applyBorder="1" applyAlignment="1">
      <alignment horizontal="center" vertical="center" wrapText="1"/>
    </xf>
    <xf numFmtId="0" fontId="8" fillId="0" borderId="34" xfId="378" applyFont="1" applyFill="1" applyBorder="1" applyAlignment="1">
      <alignment horizontal="center" vertical="center" wrapText="1"/>
    </xf>
    <xf numFmtId="49" fontId="8" fillId="0" borderId="34" xfId="378" applyNumberFormat="1" applyFont="1" applyFill="1" applyBorder="1" applyAlignment="1">
      <alignment horizontal="center" vertical="center" wrapText="1"/>
    </xf>
    <xf numFmtId="0" fontId="116" fillId="0" borderId="26" xfId="6" applyFont="1" applyFill="1" applyBorder="1" applyAlignment="1" applyProtection="1">
      <alignment horizontal="left" vertical="center"/>
      <protection hidden="1"/>
    </xf>
    <xf numFmtId="0" fontId="116" fillId="0" borderId="32" xfId="2" applyFont="1" applyFill="1" applyBorder="1" applyAlignment="1" applyProtection="1">
      <alignment horizontal="center" vertical="center"/>
      <protection hidden="1"/>
    </xf>
    <xf numFmtId="0" fontId="41" fillId="2" borderId="3" xfId="2" applyFont="1" applyFill="1" applyBorder="1" applyAlignment="1" applyProtection="1">
      <alignment horizontal="center" vertical="center" wrapText="1"/>
      <protection hidden="1"/>
    </xf>
    <xf numFmtId="173" fontId="93" fillId="2" borderId="10" xfId="366" applyNumberFormat="1" applyFont="1" applyFill="1" applyBorder="1" applyAlignment="1">
      <alignment horizontal="center" vertical="center" wrapText="1"/>
    </xf>
    <xf numFmtId="174" fontId="93" fillId="2" borderId="10" xfId="366" applyNumberFormat="1" applyFont="1" applyFill="1" applyBorder="1" applyAlignment="1">
      <alignment horizontal="center" vertical="center" wrapText="1"/>
    </xf>
    <xf numFmtId="0" fontId="199" fillId="0" borderId="0" xfId="2" applyFont="1" applyFill="1" applyBorder="1" applyProtection="1">
      <protection hidden="1"/>
    </xf>
    <xf numFmtId="0" fontId="200" fillId="0" borderId="0" xfId="2" applyFont="1" applyProtection="1">
      <protection hidden="1"/>
    </xf>
    <xf numFmtId="0" fontId="199" fillId="0" borderId="0" xfId="2" applyFont="1" applyFill="1" applyBorder="1" applyAlignment="1" applyProtection="1">
      <alignment vertical="center"/>
      <protection hidden="1"/>
    </xf>
    <xf numFmtId="0" fontId="200" fillId="0" borderId="0" xfId="2" applyFont="1" applyAlignment="1" applyProtection="1">
      <alignment vertical="center"/>
      <protection hidden="1"/>
    </xf>
    <xf numFmtId="0" fontId="199" fillId="0" borderId="0" xfId="2" applyFont="1" applyFill="1" applyBorder="1" applyAlignment="1" applyProtection="1">
      <protection hidden="1"/>
    </xf>
    <xf numFmtId="0" fontId="200" fillId="0" borderId="0" xfId="2" applyFont="1" applyAlignment="1" applyProtection="1">
      <protection hidden="1"/>
    </xf>
    <xf numFmtId="0" fontId="201" fillId="0" borderId="0" xfId="0" applyFont="1" applyFill="1" applyBorder="1" applyProtection="1">
      <protection hidden="1"/>
    </xf>
    <xf numFmtId="14" fontId="199" fillId="0" borderId="0" xfId="2" applyNumberFormat="1" applyFont="1" applyFill="1" applyBorder="1" applyAlignment="1" applyProtection="1">
      <alignment vertical="center"/>
      <protection hidden="1"/>
    </xf>
    <xf numFmtId="0" fontId="199" fillId="0" borderId="0" xfId="2" applyFont="1" applyFill="1" applyBorder="1" applyAlignment="1" applyProtection="1">
      <alignment horizontal="left" vertical="center"/>
      <protection hidden="1"/>
    </xf>
    <xf numFmtId="0" fontId="199" fillId="0" borderId="0" xfId="2" applyFont="1" applyAlignment="1" applyProtection="1">
      <alignment vertical="center"/>
      <protection hidden="1"/>
    </xf>
    <xf numFmtId="0" fontId="202" fillId="0" borderId="0" xfId="0" applyFont="1" applyFill="1" applyBorder="1" applyAlignment="1" applyProtection="1">
      <alignment horizontal="left" vertical="center"/>
      <protection hidden="1"/>
    </xf>
    <xf numFmtId="0" fontId="199" fillId="0" borderId="0" xfId="2" applyFont="1" applyBorder="1" applyAlignment="1" applyProtection="1">
      <alignment vertical="center"/>
      <protection hidden="1"/>
    </xf>
    <xf numFmtId="172" fontId="200" fillId="0" borderId="0" xfId="2" applyNumberFormat="1" applyFont="1" applyAlignment="1" applyProtection="1">
      <alignment vertical="center"/>
      <protection hidden="1"/>
    </xf>
    <xf numFmtId="1" fontId="201" fillId="0" borderId="0" xfId="0" applyNumberFormat="1" applyFont="1" applyFill="1" applyBorder="1" applyAlignment="1" applyProtection="1">
      <alignment horizontal="center" vertical="center"/>
      <protection hidden="1"/>
    </xf>
    <xf numFmtId="1" fontId="201" fillId="0" borderId="0" xfId="0" applyNumberFormat="1" applyFont="1" applyFill="1" applyBorder="1" applyAlignment="1" applyProtection="1">
      <alignment horizontal="center"/>
      <protection hidden="1"/>
    </xf>
    <xf numFmtId="0" fontId="200" fillId="0" borderId="0" xfId="2" applyFont="1" applyFill="1" applyAlignment="1" applyProtection="1">
      <alignment vertical="center"/>
      <protection hidden="1"/>
    </xf>
    <xf numFmtId="0" fontId="199" fillId="0" borderId="0" xfId="2" applyFont="1" applyFill="1" applyAlignment="1" applyProtection="1">
      <alignment vertical="center"/>
      <protection hidden="1"/>
    </xf>
    <xf numFmtId="0" fontId="199" fillId="0" borderId="0" xfId="2" applyFont="1" applyFill="1" applyBorder="1" applyAlignment="1" applyProtection="1">
      <alignment horizontal="center" vertical="center"/>
      <protection hidden="1"/>
    </xf>
    <xf numFmtId="0" fontId="203" fillId="0" borderId="0" xfId="2" applyFont="1" applyFill="1" applyBorder="1" applyAlignment="1" applyProtection="1">
      <alignment vertical="center"/>
      <protection hidden="1"/>
    </xf>
    <xf numFmtId="14" fontId="203" fillId="0" borderId="0" xfId="2" applyNumberFormat="1" applyFont="1" applyFill="1" applyBorder="1" applyAlignment="1" applyProtection="1">
      <alignment vertical="center"/>
      <protection hidden="1"/>
    </xf>
    <xf numFmtId="0" fontId="59" fillId="0" borderId="0" xfId="2" applyFont="1" applyFill="1" applyBorder="1" applyAlignment="1" applyProtection="1">
      <alignment vertical="center"/>
      <protection hidden="1"/>
    </xf>
    <xf numFmtId="0" fontId="204" fillId="0" borderId="0" xfId="2" applyFont="1" applyFill="1" applyBorder="1" applyAlignment="1" applyProtection="1">
      <alignment vertical="center"/>
      <protection hidden="1"/>
    </xf>
    <xf numFmtId="0" fontId="134" fillId="0" borderId="0" xfId="2" applyFont="1" applyFill="1" applyBorder="1" applyAlignment="1" applyProtection="1">
      <alignment vertical="center"/>
      <protection hidden="1"/>
    </xf>
    <xf numFmtId="0" fontId="204" fillId="0" borderId="0" xfId="2" applyFont="1" applyFill="1" applyBorder="1" applyProtection="1">
      <protection hidden="1"/>
    </xf>
    <xf numFmtId="0" fontId="134" fillId="0" borderId="0" xfId="2" applyFont="1" applyFill="1" applyBorder="1" applyProtection="1">
      <protection hidden="1"/>
    </xf>
    <xf numFmtId="0" fontId="194" fillId="0" borderId="0" xfId="2" applyFont="1" applyProtection="1">
      <protection hidden="1"/>
    </xf>
    <xf numFmtId="0" fontId="202" fillId="0" borderId="0" xfId="2" applyFont="1" applyFill="1" applyBorder="1" applyProtection="1">
      <protection hidden="1"/>
    </xf>
    <xf numFmtId="0" fontId="205" fillId="0" borderId="0" xfId="2" applyFont="1" applyProtection="1">
      <protection hidden="1"/>
    </xf>
    <xf numFmtId="0" fontId="206" fillId="0" borderId="0" xfId="2" applyFont="1" applyProtection="1">
      <protection hidden="1"/>
    </xf>
    <xf numFmtId="0" fontId="207" fillId="0" borderId="0" xfId="2" applyFont="1" applyAlignment="1" applyProtection="1">
      <alignment vertical="center"/>
      <protection hidden="1"/>
    </xf>
    <xf numFmtId="0" fontId="41" fillId="2" borderId="28" xfId="2" applyFont="1" applyFill="1" applyBorder="1" applyAlignment="1" applyProtection="1">
      <alignment horizontal="center" vertical="center"/>
      <protection hidden="1"/>
    </xf>
    <xf numFmtId="14" fontId="44" fillId="0" borderId="1" xfId="2" applyNumberFormat="1" applyFont="1" applyBorder="1" applyAlignment="1" applyProtection="1">
      <alignment horizontal="center"/>
      <protection hidden="1"/>
    </xf>
    <xf numFmtId="0" fontId="41" fillId="2" borderId="10" xfId="2" applyNumberFormat="1" applyFont="1" applyFill="1" applyBorder="1" applyAlignment="1" applyProtection="1">
      <alignment horizontal="center" vertical="center" wrapText="1"/>
      <protection hidden="1"/>
    </xf>
    <xf numFmtId="0" fontId="41" fillId="2" borderId="10" xfId="2" applyFont="1" applyFill="1" applyBorder="1" applyAlignment="1" applyProtection="1">
      <alignment horizontal="center" vertical="center" wrapText="1"/>
      <protection hidden="1"/>
    </xf>
    <xf numFmtId="0" fontId="41" fillId="2" borderId="10" xfId="2" applyFont="1" applyFill="1" applyBorder="1" applyAlignment="1" applyProtection="1">
      <alignment horizontal="center" vertical="center"/>
      <protection hidden="1"/>
    </xf>
    <xf numFmtId="0" fontId="41" fillId="2" borderId="26" xfId="2" applyFont="1" applyFill="1" applyBorder="1" applyAlignment="1" applyProtection="1">
      <alignment horizontal="left" vertical="center"/>
      <protection hidden="1"/>
    </xf>
    <xf numFmtId="0" fontId="41" fillId="2" borderId="27" xfId="2" applyFont="1" applyFill="1" applyBorder="1" applyAlignment="1" applyProtection="1">
      <alignment horizontal="center" vertical="center"/>
      <protection hidden="1"/>
    </xf>
    <xf numFmtId="0" fontId="41" fillId="0" borderId="6" xfId="2" applyFont="1" applyFill="1" applyBorder="1" applyAlignment="1" applyProtection="1">
      <alignment vertical="center"/>
      <protection hidden="1"/>
    </xf>
    <xf numFmtId="0" fontId="76" fillId="4" borderId="2" xfId="1" applyFont="1" applyFill="1" applyBorder="1" applyAlignment="1" applyProtection="1">
      <alignment vertical="center"/>
      <protection hidden="1"/>
    </xf>
    <xf numFmtId="0" fontId="76" fillId="4" borderId="4" xfId="1" applyFont="1" applyFill="1" applyBorder="1" applyAlignment="1" applyProtection="1">
      <alignment vertical="center"/>
      <protection hidden="1"/>
    </xf>
    <xf numFmtId="0" fontId="76" fillId="0" borderId="0" xfId="1" applyFont="1" applyFill="1" applyBorder="1" applyAlignment="1" applyProtection="1">
      <alignment vertical="center"/>
      <protection hidden="1"/>
    </xf>
    <xf numFmtId="0" fontId="76" fillId="0" borderId="0" xfId="2" applyFont="1" applyFill="1" applyBorder="1" applyAlignment="1" applyProtection="1">
      <alignment vertical="center"/>
      <protection hidden="1"/>
    </xf>
    <xf numFmtId="0" fontId="76" fillId="0" borderId="6" xfId="2" applyFont="1" applyFill="1" applyBorder="1" applyAlignment="1" applyProtection="1">
      <alignment vertical="center"/>
      <protection hidden="1"/>
    </xf>
    <xf numFmtId="9" fontId="44" fillId="0" borderId="8" xfId="1" applyNumberFormat="1" applyFont="1" applyBorder="1" applyAlignment="1" applyProtection="1">
      <alignment horizontal="center" vertical="center"/>
      <protection hidden="1"/>
    </xf>
    <xf numFmtId="0" fontId="116" fillId="0" borderId="9" xfId="2" applyFont="1" applyFill="1" applyBorder="1" applyAlignment="1" applyProtection="1">
      <alignment horizontal="center" vertical="center" wrapText="1"/>
      <protection hidden="1"/>
    </xf>
    <xf numFmtId="0" fontId="116" fillId="0" borderId="9" xfId="2" applyFont="1" applyBorder="1" applyAlignment="1" applyProtection="1">
      <alignment horizontal="center" vertical="center"/>
      <protection hidden="1"/>
    </xf>
    <xf numFmtId="0" fontId="116" fillId="0" borderId="9" xfId="2" applyNumberFormat="1" applyFont="1" applyFill="1" applyBorder="1" applyAlignment="1" applyProtection="1">
      <alignment horizontal="center" vertical="center" wrapText="1"/>
      <protection hidden="1"/>
    </xf>
    <xf numFmtId="0" fontId="0" fillId="0" borderId="0" xfId="0" applyAlignment="1">
      <alignment horizontal="center" vertical="center"/>
    </xf>
    <xf numFmtId="0" fontId="189" fillId="0" borderId="1" xfId="0" applyFont="1" applyBorder="1" applyAlignment="1">
      <alignment horizontal="center"/>
    </xf>
    <xf numFmtId="0" fontId="189" fillId="0" borderId="1" xfId="0" applyFont="1" applyBorder="1" applyAlignment="1">
      <alignment horizontal="center" vertical="center"/>
    </xf>
    <xf numFmtId="0" fontId="6" fillId="0" borderId="1" xfId="2" applyFont="1" applyBorder="1" applyAlignment="1" applyProtection="1">
      <alignment horizontal="right" vertical="center"/>
      <protection hidden="1"/>
    </xf>
    <xf numFmtId="0" fontId="79" fillId="3" borderId="3" xfId="0" applyFont="1" applyFill="1" applyBorder="1" applyAlignment="1">
      <alignment horizontal="center" vertical="center"/>
    </xf>
    <xf numFmtId="0" fontId="79" fillId="3" borderId="3" xfId="0" applyFont="1" applyFill="1" applyBorder="1" applyAlignment="1">
      <alignment horizontal="center" vertical="center" wrapText="1"/>
    </xf>
    <xf numFmtId="0" fontId="78" fillId="0" borderId="10" xfId="0" applyFont="1" applyBorder="1" applyAlignment="1">
      <alignment horizontal="center" vertical="center"/>
    </xf>
    <xf numFmtId="0" fontId="0" fillId="0" borderId="0" xfId="0" applyBorder="1"/>
    <xf numFmtId="0" fontId="116" fillId="0" borderId="0" xfId="2" applyFont="1" applyFill="1" applyBorder="1" applyAlignment="1" applyProtection="1">
      <alignment vertical="center"/>
      <protection hidden="1"/>
    </xf>
    <xf numFmtId="0" fontId="41" fillId="0" borderId="0" xfId="2" applyFont="1" applyFill="1" applyBorder="1" applyAlignment="1" applyProtection="1">
      <alignment vertical="center"/>
      <protection hidden="1"/>
    </xf>
    <xf numFmtId="1" fontId="41" fillId="0" borderId="0" xfId="2" applyNumberFormat="1" applyFont="1" applyFill="1" applyBorder="1" applyAlignment="1" applyProtection="1">
      <alignment vertical="center"/>
      <protection hidden="1"/>
    </xf>
    <xf numFmtId="0" fontId="41" fillId="0" borderId="0" xfId="2" applyNumberFormat="1" applyFont="1" applyFill="1" applyBorder="1" applyAlignment="1" applyProtection="1">
      <alignment vertical="center"/>
      <protection hidden="1"/>
    </xf>
    <xf numFmtId="0" fontId="116" fillId="0" borderId="0" xfId="2" applyNumberFormat="1" applyFont="1" applyFill="1" applyBorder="1" applyAlignment="1" applyProtection="1">
      <alignment vertical="center" wrapText="1"/>
      <protection hidden="1"/>
    </xf>
    <xf numFmtId="0" fontId="6" fillId="0" borderId="0" xfId="2" applyFont="1" applyAlignment="1" applyProtection="1">
      <alignment vertical="center"/>
      <protection hidden="1"/>
    </xf>
    <xf numFmtId="1" fontId="116" fillId="0" borderId="0" xfId="2" applyNumberFormat="1" applyFont="1" applyFill="1" applyBorder="1" applyAlignment="1" applyProtection="1">
      <alignment vertical="center"/>
      <protection hidden="1"/>
    </xf>
    <xf numFmtId="0" fontId="57" fillId="0" borderId="10" xfId="1" applyFont="1" applyFill="1" applyBorder="1" applyAlignment="1" applyProtection="1">
      <alignment vertical="center"/>
      <protection hidden="1"/>
    </xf>
    <xf numFmtId="9" fontId="6" fillId="0" borderId="10" xfId="1" applyNumberFormat="1" applyFont="1" applyBorder="1" applyAlignment="1" applyProtection="1">
      <alignment horizontal="center" vertical="center"/>
      <protection hidden="1"/>
    </xf>
    <xf numFmtId="0" fontId="41" fillId="0" borderId="0" xfId="2" applyFont="1" applyFill="1" applyBorder="1" applyAlignment="1" applyProtection="1">
      <alignment vertical="center" wrapText="1"/>
      <protection hidden="1"/>
    </xf>
    <xf numFmtId="0" fontId="57" fillId="0" borderId="10" xfId="2" applyFont="1" applyBorder="1" applyAlignment="1" applyProtection="1">
      <alignment vertical="center"/>
      <protection hidden="1"/>
    </xf>
    <xf numFmtId="9" fontId="6" fillId="0" borderId="10" xfId="1" applyNumberFormat="1" applyFont="1" applyFill="1" applyBorder="1" applyAlignment="1" applyProtection="1">
      <alignment horizontal="center" vertical="center"/>
      <protection hidden="1"/>
    </xf>
    <xf numFmtId="0" fontId="191" fillId="0" borderId="0" xfId="2" applyFont="1" applyFill="1" applyBorder="1" applyAlignment="1" applyProtection="1">
      <alignment vertical="center"/>
      <protection hidden="1"/>
    </xf>
    <xf numFmtId="0" fontId="191" fillId="0" borderId="0" xfId="2" applyNumberFormat="1" applyFont="1" applyFill="1" applyBorder="1" applyAlignment="1" applyProtection="1">
      <alignment horizontal="center" vertical="center"/>
      <protection hidden="1"/>
    </xf>
    <xf numFmtId="1" fontId="190" fillId="0" borderId="0" xfId="2" applyNumberFormat="1" applyFont="1" applyFill="1" applyBorder="1" applyAlignment="1" applyProtection="1">
      <alignment horizontal="center" vertical="center"/>
      <protection hidden="1"/>
    </xf>
    <xf numFmtId="0" fontId="191" fillId="0" borderId="0" xfId="2" applyFont="1" applyFill="1" applyBorder="1" applyAlignment="1" applyProtection="1">
      <alignment vertical="center" wrapText="1"/>
      <protection hidden="1"/>
    </xf>
    <xf numFmtId="0" fontId="190" fillId="0" borderId="0" xfId="2" applyFont="1" applyFill="1" applyAlignment="1" applyProtection="1">
      <alignment horizontal="center" vertical="center"/>
      <protection hidden="1"/>
    </xf>
    <xf numFmtId="0" fontId="190" fillId="0" borderId="0" xfId="2" applyFont="1" applyFill="1" applyAlignment="1" applyProtection="1">
      <alignment vertical="center"/>
      <protection hidden="1"/>
    </xf>
    <xf numFmtId="0" fontId="190" fillId="0" borderId="0" xfId="2" applyFont="1" applyFill="1" applyBorder="1" applyAlignment="1" applyProtection="1">
      <alignment horizontal="center" vertical="center"/>
      <protection hidden="1"/>
    </xf>
    <xf numFmtId="0" fontId="190" fillId="0" borderId="0" xfId="2" applyNumberFormat="1" applyFont="1" applyFill="1" applyBorder="1" applyAlignment="1" applyProtection="1">
      <alignment horizontal="center" vertical="center"/>
      <protection hidden="1"/>
    </xf>
    <xf numFmtId="0" fontId="190" fillId="0" borderId="0" xfId="1" applyFont="1" applyFill="1" applyBorder="1" applyAlignment="1" applyProtection="1">
      <alignment vertical="center"/>
      <protection hidden="1"/>
    </xf>
    <xf numFmtId="0" fontId="190" fillId="0" borderId="0" xfId="1" applyFont="1" applyFill="1" applyBorder="1" applyAlignment="1" applyProtection="1">
      <alignment horizontal="left" vertical="center" wrapText="1"/>
      <protection hidden="1"/>
    </xf>
    <xf numFmtId="0" fontId="210" fillId="0" borderId="0" xfId="2" applyFont="1" applyFill="1" applyBorder="1" applyAlignment="1" applyProtection="1">
      <alignment vertical="center"/>
      <protection hidden="1"/>
    </xf>
    <xf numFmtId="0" fontId="191" fillId="0" borderId="0" xfId="1" applyFont="1" applyFill="1" applyBorder="1" applyAlignment="1" applyProtection="1">
      <alignment vertical="center"/>
      <protection hidden="1"/>
    </xf>
    <xf numFmtId="0" fontId="190" fillId="0" borderId="0" xfId="2" applyFont="1" applyFill="1" applyBorder="1" applyAlignment="1" applyProtection="1">
      <alignment vertical="center" wrapText="1"/>
      <protection hidden="1"/>
    </xf>
    <xf numFmtId="0" fontId="190" fillId="0" borderId="0" xfId="1" applyFont="1" applyFill="1" applyAlignment="1" applyProtection="1">
      <alignment vertical="center"/>
      <protection hidden="1"/>
    </xf>
    <xf numFmtId="0" fontId="190" fillId="0" borderId="0" xfId="1" applyFont="1" applyFill="1" applyAlignment="1" applyProtection="1">
      <alignment horizontal="left" vertical="center" wrapText="1"/>
      <protection hidden="1"/>
    </xf>
    <xf numFmtId="9" fontId="190" fillId="0" borderId="0" xfId="1" applyNumberFormat="1" applyFont="1" applyFill="1" applyBorder="1" applyAlignment="1" applyProtection="1">
      <alignment horizontal="center" vertical="center"/>
      <protection hidden="1"/>
    </xf>
    <xf numFmtId="9" fontId="190" fillId="0" borderId="0" xfId="1" applyNumberFormat="1" applyFont="1" applyFill="1" applyBorder="1" applyAlignment="1" applyProtection="1">
      <alignment vertical="center"/>
      <protection hidden="1"/>
    </xf>
    <xf numFmtId="0" fontId="191" fillId="0" borderId="0" xfId="1" applyFont="1" applyFill="1" applyBorder="1" applyAlignment="1" applyProtection="1">
      <alignment vertical="center" wrapText="1"/>
      <protection hidden="1"/>
    </xf>
    <xf numFmtId="0" fontId="191" fillId="0" borderId="0" xfId="1" applyFont="1" applyFill="1" applyBorder="1" applyAlignment="1" applyProtection="1">
      <alignment horizontal="left" vertical="center" wrapText="1"/>
      <protection hidden="1"/>
    </xf>
    <xf numFmtId="0" fontId="194" fillId="0" borderId="0" xfId="2" applyFont="1" applyFill="1" applyBorder="1" applyAlignment="1" applyProtection="1">
      <alignment vertical="center"/>
      <protection hidden="1"/>
    </xf>
    <xf numFmtId="0" fontId="194" fillId="0" borderId="0" xfId="2" applyFont="1" applyFill="1" applyAlignment="1" applyProtection="1">
      <alignment vertical="center"/>
      <protection hidden="1"/>
    </xf>
    <xf numFmtId="0" fontId="194" fillId="0" borderId="0" xfId="2" applyFont="1" applyFill="1" applyProtection="1">
      <protection hidden="1"/>
    </xf>
    <xf numFmtId="1" fontId="59" fillId="0" borderId="9" xfId="271" applyNumberFormat="1" applyFont="1" applyBorder="1" applyAlignment="1">
      <alignment horizontal="center" vertical="center"/>
    </xf>
    <xf numFmtId="0" fontId="58" fillId="0" borderId="0" xfId="271" applyFont="1" applyBorder="1" applyAlignment="1">
      <alignment horizontal="center" vertical="top" wrapText="1"/>
    </xf>
    <xf numFmtId="0" fontId="59" fillId="0" borderId="0" xfId="271" applyFont="1" applyFill="1" applyBorder="1" applyAlignment="1">
      <alignment vertical="center" wrapText="1"/>
    </xf>
    <xf numFmtId="0" fontId="59" fillId="0" borderId="0" xfId="271" applyFont="1" applyBorder="1" applyAlignment="1">
      <alignment horizontal="center" vertical="center" wrapText="1"/>
    </xf>
    <xf numFmtId="0" fontId="59" fillId="0" borderId="0" xfId="271" applyFont="1" applyBorder="1" applyAlignment="1">
      <alignment horizontal="left" vertical="top" wrapText="1"/>
    </xf>
    <xf numFmtId="1" fontId="59" fillId="0" borderId="0" xfId="271" applyNumberFormat="1" applyFont="1" applyBorder="1" applyAlignment="1">
      <alignment horizontal="center" vertical="center" wrapText="1"/>
    </xf>
    <xf numFmtId="0" fontId="7" fillId="0" borderId="0" xfId="2" applyFont="1" applyFill="1" applyBorder="1" applyAlignment="1" applyProtection="1">
      <alignment vertical="center"/>
      <protection locked="0"/>
    </xf>
    <xf numFmtId="0" fontId="17" fillId="0" borderId="0" xfId="298" applyFill="1" applyBorder="1"/>
    <xf numFmtId="1" fontId="62" fillId="0" borderId="0" xfId="362" applyNumberFormat="1" applyFont="1" applyFill="1" applyBorder="1" applyAlignment="1" applyProtection="1">
      <alignment horizontal="right" vertical="center" wrapText="1"/>
      <protection locked="0"/>
    </xf>
    <xf numFmtId="0" fontId="3" fillId="0" borderId="0" xfId="2" applyFont="1" applyAlignment="1" applyProtection="1">
      <protection hidden="1"/>
    </xf>
    <xf numFmtId="0" fontId="61" fillId="0" borderId="0" xfId="2" applyFont="1" applyAlignment="1" applyProtection="1">
      <protection hidden="1"/>
    </xf>
    <xf numFmtId="0" fontId="7" fillId="3" borderId="29" xfId="2" applyFont="1" applyFill="1" applyBorder="1" applyAlignment="1" applyProtection="1">
      <protection hidden="1"/>
    </xf>
    <xf numFmtId="0" fontId="3" fillId="3" borderId="29" xfId="2" applyFont="1" applyFill="1" applyBorder="1" applyAlignment="1" applyProtection="1">
      <alignment horizontal="center" vertical="center"/>
      <protection hidden="1"/>
    </xf>
    <xf numFmtId="0" fontId="3" fillId="3" borderId="29" xfId="2" applyFont="1" applyFill="1" applyBorder="1" applyAlignment="1" applyProtection="1">
      <alignment horizontal="center"/>
      <protection hidden="1"/>
    </xf>
    <xf numFmtId="1" fontId="3" fillId="3" borderId="36" xfId="2" applyNumberFormat="1" applyFont="1" applyFill="1" applyBorder="1" applyAlignment="1" applyProtection="1">
      <alignment horizontal="center"/>
      <protection hidden="1"/>
    </xf>
    <xf numFmtId="1" fontId="3" fillId="3" borderId="32" xfId="2" applyNumberFormat="1" applyFont="1" applyFill="1" applyBorder="1" applyAlignment="1" applyProtection="1">
      <alignment horizontal="center" vertical="center"/>
      <protection hidden="1"/>
    </xf>
    <xf numFmtId="0" fontId="2" fillId="0" borderId="0" xfId="2" applyFont="1" applyAlignment="1" applyProtection="1">
      <alignment vertical="center"/>
      <protection hidden="1"/>
    </xf>
    <xf numFmtId="0" fontId="3" fillId="0" borderId="30" xfId="2" applyFont="1" applyFill="1" applyBorder="1" applyAlignment="1" applyProtection="1">
      <alignment horizontal="center" vertical="center"/>
      <protection hidden="1"/>
    </xf>
    <xf numFmtId="1" fontId="3" fillId="0" borderId="30" xfId="2" applyNumberFormat="1" applyFont="1" applyFill="1" applyBorder="1" applyAlignment="1" applyProtection="1">
      <alignment horizontal="center"/>
      <protection hidden="1"/>
    </xf>
    <xf numFmtId="1" fontId="3" fillId="0" borderId="32" xfId="2" applyNumberFormat="1" applyFont="1" applyFill="1" applyBorder="1" applyAlignment="1" applyProtection="1">
      <alignment horizontal="center" vertical="center"/>
      <protection hidden="1"/>
    </xf>
    <xf numFmtId="0" fontId="3" fillId="3" borderId="30" xfId="2" applyFont="1" applyFill="1" applyBorder="1" applyAlignment="1" applyProtection="1">
      <alignment horizontal="center" vertical="center"/>
      <protection hidden="1"/>
    </xf>
    <xf numFmtId="1" fontId="3" fillId="3" borderId="30" xfId="2" applyNumberFormat="1" applyFont="1" applyFill="1" applyBorder="1" applyAlignment="1" applyProtection="1">
      <alignment horizontal="center"/>
      <protection hidden="1"/>
    </xf>
    <xf numFmtId="0" fontId="3" fillId="3" borderId="31" xfId="2" applyFont="1" applyFill="1" applyBorder="1" applyAlignment="1" applyProtection="1">
      <alignment horizontal="center" vertical="center"/>
      <protection hidden="1"/>
    </xf>
    <xf numFmtId="0" fontId="3" fillId="0" borderId="31" xfId="2" applyFont="1" applyFill="1" applyBorder="1" applyAlignment="1" applyProtection="1">
      <alignment horizontal="center" vertical="center"/>
      <protection hidden="1"/>
    </xf>
    <xf numFmtId="0" fontId="3" fillId="0" borderId="30" xfId="2" applyNumberFormat="1" applyFont="1" applyFill="1" applyBorder="1" applyAlignment="1" applyProtection="1">
      <alignment horizontal="center"/>
      <protection hidden="1"/>
    </xf>
    <xf numFmtId="0" fontId="3" fillId="0" borderId="10" xfId="2" applyFont="1" applyFill="1" applyBorder="1" applyAlignment="1" applyProtection="1">
      <alignment horizontal="center" vertical="center"/>
      <protection hidden="1"/>
    </xf>
    <xf numFmtId="1" fontId="3" fillId="0" borderId="2" xfId="2" applyNumberFormat="1" applyFont="1" applyFill="1" applyBorder="1" applyAlignment="1" applyProtection="1">
      <alignment horizontal="center" vertical="center"/>
      <protection hidden="1"/>
    </xf>
    <xf numFmtId="1" fontId="3" fillId="0" borderId="34" xfId="2" applyNumberFormat="1" applyFont="1" applyFill="1" applyBorder="1" applyAlignment="1" applyProtection="1">
      <alignment horizontal="center"/>
      <protection hidden="1"/>
    </xf>
    <xf numFmtId="1" fontId="3" fillId="0" borderId="26" xfId="2" applyNumberFormat="1" applyFont="1" applyFill="1" applyBorder="1" applyAlignment="1" applyProtection="1">
      <alignment horizontal="center" vertical="center"/>
      <protection hidden="1"/>
    </xf>
    <xf numFmtId="1" fontId="3" fillId="0" borderId="13" xfId="2" applyNumberFormat="1" applyFont="1" applyFill="1" applyBorder="1" applyAlignment="1" applyProtection="1">
      <alignment horizontal="center"/>
      <protection hidden="1"/>
    </xf>
    <xf numFmtId="0" fontId="3" fillId="0" borderId="8" xfId="2" applyFont="1" applyFill="1" applyBorder="1" applyAlignment="1" applyProtection="1">
      <alignment horizontal="center" vertical="center"/>
      <protection hidden="1"/>
    </xf>
    <xf numFmtId="0" fontId="3" fillId="0" borderId="9" xfId="2" applyFont="1" applyFill="1" applyBorder="1" applyAlignment="1" applyProtection="1">
      <alignment horizontal="center" vertical="center"/>
      <protection hidden="1"/>
    </xf>
    <xf numFmtId="1" fontId="3" fillId="0" borderId="9" xfId="2" applyNumberFormat="1" applyFont="1" applyFill="1" applyBorder="1" applyAlignment="1" applyProtection="1">
      <alignment horizontal="center"/>
      <protection hidden="1"/>
    </xf>
    <xf numFmtId="0" fontId="3" fillId="0" borderId="13" xfId="2" applyNumberFormat="1" applyFont="1" applyFill="1" applyBorder="1" applyAlignment="1" applyProtection="1">
      <alignment horizontal="center"/>
      <protection hidden="1"/>
    </xf>
    <xf numFmtId="0" fontId="3" fillId="0" borderId="9" xfId="2" applyNumberFormat="1" applyFont="1" applyFill="1" applyBorder="1" applyAlignment="1" applyProtection="1">
      <alignment horizontal="center"/>
      <protection hidden="1"/>
    </xf>
    <xf numFmtId="1" fontId="3" fillId="3" borderId="10" xfId="2" applyNumberFormat="1" applyFont="1" applyFill="1" applyBorder="1" applyAlignment="1" applyProtection="1">
      <alignment horizontal="center"/>
      <protection hidden="1"/>
    </xf>
    <xf numFmtId="1" fontId="3" fillId="0" borderId="3" xfId="2" applyNumberFormat="1" applyFont="1" applyFill="1" applyBorder="1" applyAlignment="1" applyProtection="1">
      <alignment horizontal="center"/>
      <protection hidden="1"/>
    </xf>
    <xf numFmtId="0" fontId="3" fillId="3" borderId="10" xfId="2" applyFont="1" applyFill="1" applyBorder="1" applyAlignment="1" applyProtection="1">
      <alignment horizontal="center" vertical="center"/>
      <protection hidden="1"/>
    </xf>
    <xf numFmtId="1" fontId="3" fillId="0" borderId="10" xfId="2" applyNumberFormat="1" applyFont="1" applyFill="1" applyBorder="1" applyAlignment="1" applyProtection="1">
      <alignment horizontal="center" vertical="center"/>
      <protection hidden="1"/>
    </xf>
    <xf numFmtId="0" fontId="3" fillId="3" borderId="7" xfId="2" applyFont="1" applyFill="1" applyBorder="1" applyAlignment="1" applyProtection="1">
      <alignment horizontal="center" vertical="center"/>
      <protection hidden="1"/>
    </xf>
    <xf numFmtId="1" fontId="3" fillId="3" borderId="29" xfId="2" applyNumberFormat="1" applyFont="1" applyFill="1" applyBorder="1" applyAlignment="1" applyProtection="1">
      <alignment horizontal="center"/>
      <protection hidden="1"/>
    </xf>
    <xf numFmtId="1" fontId="3" fillId="3" borderId="10" xfId="2" applyNumberFormat="1" applyFont="1" applyFill="1" applyBorder="1" applyAlignment="1" applyProtection="1">
      <alignment horizontal="center" vertical="center"/>
      <protection hidden="1"/>
    </xf>
    <xf numFmtId="0" fontId="3" fillId="0" borderId="29" xfId="2" applyNumberFormat="1" applyFont="1" applyFill="1" applyBorder="1" applyAlignment="1" applyProtection="1">
      <alignment horizontal="center"/>
      <protection hidden="1"/>
    </xf>
    <xf numFmtId="1" fontId="3" fillId="0" borderId="29" xfId="2" applyNumberFormat="1" applyFont="1" applyFill="1" applyBorder="1" applyAlignment="1" applyProtection="1">
      <alignment horizontal="center"/>
      <protection hidden="1"/>
    </xf>
    <xf numFmtId="0" fontId="3" fillId="0" borderId="36" xfId="2" applyNumberFormat="1" applyFont="1" applyFill="1" applyBorder="1" applyAlignment="1" applyProtection="1">
      <alignment horizontal="center"/>
      <protection hidden="1"/>
    </xf>
    <xf numFmtId="0" fontId="7" fillId="0" borderId="36" xfId="2" applyNumberFormat="1" applyFont="1" applyFill="1" applyBorder="1" applyAlignment="1" applyProtection="1">
      <alignment horizontal="center"/>
      <protection hidden="1"/>
    </xf>
    <xf numFmtId="0" fontId="3" fillId="0" borderId="30" xfId="2" applyNumberFormat="1" applyFont="1" applyFill="1" applyBorder="1" applyAlignment="1" applyProtection="1">
      <alignment horizontal="center" vertical="center"/>
      <protection hidden="1"/>
    </xf>
    <xf numFmtId="1" fontId="3" fillId="3" borderId="30" xfId="2" applyNumberFormat="1" applyFont="1" applyFill="1" applyBorder="1" applyAlignment="1" applyProtection="1">
      <alignment horizontal="center" vertical="center"/>
      <protection hidden="1"/>
    </xf>
    <xf numFmtId="1" fontId="3" fillId="0" borderId="13" xfId="2" applyNumberFormat="1" applyFont="1" applyFill="1" applyBorder="1" applyAlignment="1" applyProtection="1">
      <alignment horizontal="center" vertical="center"/>
      <protection hidden="1"/>
    </xf>
    <xf numFmtId="0" fontId="60" fillId="0" borderId="0" xfId="1" applyFont="1" applyAlignment="1" applyProtection="1">
      <protection locked="0"/>
    </xf>
    <xf numFmtId="0" fontId="38" fillId="0" borderId="0" xfId="1" applyFont="1" applyAlignment="1" applyProtection="1">
      <protection locked="0"/>
    </xf>
    <xf numFmtId="1" fontId="66" fillId="0" borderId="1" xfId="362" applyNumberFormat="1" applyFont="1" applyFill="1" applyBorder="1" applyAlignment="1" applyProtection="1">
      <alignment horizontal="right"/>
      <protection locked="0"/>
    </xf>
    <xf numFmtId="1" fontId="66" fillId="0" borderId="0" xfId="362" applyNumberFormat="1" applyFont="1" applyFill="1" applyBorder="1" applyAlignment="1" applyProtection="1">
      <alignment horizontal="right"/>
      <protection locked="0"/>
    </xf>
    <xf numFmtId="1" fontId="7" fillId="0" borderId="0" xfId="367" applyNumberFormat="1" applyFont="1" applyFill="1" applyBorder="1" applyAlignment="1" applyProtection="1">
      <protection locked="0"/>
    </xf>
    <xf numFmtId="1" fontId="7" fillId="0" borderId="9" xfId="2" applyNumberFormat="1" applyFont="1" applyBorder="1" applyAlignment="1" applyProtection="1">
      <protection locked="0"/>
    </xf>
    <xf numFmtId="1" fontId="3" fillId="0" borderId="9" xfId="2" applyNumberFormat="1" applyFont="1" applyBorder="1" applyAlignment="1" applyProtection="1">
      <alignment horizontal="center" vertical="center"/>
      <protection hidden="1"/>
    </xf>
    <xf numFmtId="1" fontId="3" fillId="0" borderId="9" xfId="2" applyNumberFormat="1" applyFont="1" applyBorder="1" applyAlignment="1" applyProtection="1">
      <alignment horizontal="center"/>
      <protection locked="0"/>
    </xf>
    <xf numFmtId="1" fontId="3" fillId="0" borderId="9" xfId="2" applyNumberFormat="1" applyFont="1" applyBorder="1" applyAlignment="1" applyProtection="1">
      <alignment horizontal="center"/>
      <protection hidden="1"/>
    </xf>
    <xf numFmtId="0" fontId="67" fillId="0" borderId="0" xfId="2" applyFont="1" applyProtection="1">
      <protection locked="0"/>
    </xf>
    <xf numFmtId="1" fontId="7" fillId="2" borderId="10" xfId="2" applyNumberFormat="1" applyFont="1" applyFill="1" applyBorder="1" applyAlignment="1" applyProtection="1">
      <protection locked="0"/>
    </xf>
    <xf numFmtId="1" fontId="3" fillId="2" borderId="10" xfId="2" applyNumberFormat="1" applyFont="1" applyFill="1" applyBorder="1" applyAlignment="1" applyProtection="1">
      <alignment horizontal="center" vertical="center"/>
      <protection hidden="1"/>
    </xf>
    <xf numFmtId="1" fontId="3" fillId="2" borderId="10" xfId="2" applyNumberFormat="1" applyFont="1" applyFill="1" applyBorder="1" applyAlignment="1" applyProtection="1">
      <alignment horizontal="center"/>
      <protection locked="0"/>
    </xf>
    <xf numFmtId="1" fontId="3" fillId="2" borderId="10" xfId="2" applyNumberFormat="1" applyFont="1" applyFill="1" applyBorder="1" applyAlignment="1" applyProtection="1">
      <alignment horizontal="center"/>
      <protection hidden="1"/>
    </xf>
    <xf numFmtId="1" fontId="7" fillId="0" borderId="34" xfId="2" applyNumberFormat="1" applyFont="1" applyBorder="1" applyAlignment="1" applyProtection="1">
      <protection locked="0"/>
    </xf>
    <xf numFmtId="1" fontId="3" fillId="0" borderId="34" xfId="2" applyNumberFormat="1" applyFont="1" applyBorder="1" applyAlignment="1" applyProtection="1">
      <alignment horizontal="center" vertical="center"/>
      <protection hidden="1"/>
    </xf>
    <xf numFmtId="1" fontId="3" fillId="0" borderId="34" xfId="2" applyNumberFormat="1" applyFont="1" applyBorder="1" applyAlignment="1" applyProtection="1">
      <alignment horizontal="center"/>
      <protection locked="0"/>
    </xf>
    <xf numFmtId="1" fontId="3" fillId="0" borderId="34" xfId="2" applyNumberFormat="1" applyFont="1" applyBorder="1" applyAlignment="1" applyProtection="1">
      <alignment horizontal="center"/>
      <protection hidden="1"/>
    </xf>
    <xf numFmtId="1" fontId="7" fillId="2" borderId="30" xfId="2" applyNumberFormat="1" applyFont="1" applyFill="1" applyBorder="1" applyAlignment="1" applyProtection="1">
      <protection locked="0"/>
    </xf>
    <xf numFmtId="1" fontId="3" fillId="2" borderId="30" xfId="2" applyNumberFormat="1" applyFont="1" applyFill="1" applyBorder="1" applyAlignment="1" applyProtection="1">
      <alignment horizontal="center" vertical="center"/>
      <protection hidden="1"/>
    </xf>
    <xf numFmtId="1" fontId="3" fillId="2" borderId="30" xfId="2" applyNumberFormat="1" applyFont="1" applyFill="1" applyBorder="1" applyAlignment="1" applyProtection="1">
      <alignment horizontal="center"/>
      <protection locked="0"/>
    </xf>
    <xf numFmtId="1" fontId="3" fillId="2" borderId="30" xfId="2" applyNumberFormat="1" applyFont="1" applyFill="1" applyBorder="1" applyAlignment="1" applyProtection="1">
      <alignment horizontal="center"/>
      <protection hidden="1"/>
    </xf>
    <xf numFmtId="1" fontId="7" fillId="0" borderId="30" xfId="2" applyNumberFormat="1" applyFont="1" applyBorder="1" applyAlignment="1" applyProtection="1">
      <protection locked="0"/>
    </xf>
    <xf numFmtId="1" fontId="3" fillId="0" borderId="30" xfId="2" applyNumberFormat="1" applyFont="1" applyBorder="1" applyAlignment="1" applyProtection="1">
      <alignment horizontal="center" vertical="center"/>
      <protection hidden="1"/>
    </xf>
    <xf numFmtId="1" fontId="3" fillId="0" borderId="30" xfId="2" applyNumberFormat="1" applyFont="1" applyBorder="1" applyAlignment="1" applyProtection="1">
      <alignment horizontal="center"/>
      <protection locked="0"/>
    </xf>
    <xf numFmtId="1" fontId="3" fillId="0" borderId="30" xfId="2" applyNumberFormat="1" applyFont="1" applyBorder="1" applyAlignment="1" applyProtection="1">
      <alignment horizontal="center"/>
      <protection hidden="1"/>
    </xf>
    <xf numFmtId="1" fontId="7" fillId="2" borderId="13" xfId="2" applyNumberFormat="1" applyFont="1" applyFill="1" applyBorder="1" applyAlignment="1" applyProtection="1">
      <protection locked="0"/>
    </xf>
    <xf numFmtId="1" fontId="3" fillId="2" borderId="13" xfId="2" applyNumberFormat="1" applyFont="1" applyFill="1" applyBorder="1" applyAlignment="1" applyProtection="1">
      <alignment horizontal="center" vertical="center"/>
      <protection hidden="1"/>
    </xf>
    <xf numFmtId="1" fontId="3" fillId="2" borderId="13" xfId="2" applyNumberFormat="1" applyFont="1" applyFill="1" applyBorder="1" applyAlignment="1" applyProtection="1">
      <alignment horizontal="center"/>
      <protection locked="0"/>
    </xf>
    <xf numFmtId="1" fontId="3" fillId="2" borderId="13" xfId="2" applyNumberFormat="1" applyFont="1" applyFill="1" applyBorder="1" applyAlignment="1" applyProtection="1">
      <alignment horizontal="center"/>
      <protection hidden="1"/>
    </xf>
    <xf numFmtId="1" fontId="7" fillId="0" borderId="10" xfId="2" applyNumberFormat="1" applyFont="1" applyBorder="1" applyAlignment="1" applyProtection="1">
      <protection locked="0"/>
    </xf>
    <xf numFmtId="1" fontId="3" fillId="0" borderId="10" xfId="2" applyNumberFormat="1" applyFont="1" applyBorder="1" applyAlignment="1" applyProtection="1">
      <alignment horizontal="center" vertical="center"/>
      <protection hidden="1"/>
    </xf>
    <xf numFmtId="1" fontId="3" fillId="0" borderId="10" xfId="2" applyNumberFormat="1" applyFont="1" applyBorder="1" applyAlignment="1" applyProtection="1">
      <alignment horizontal="center"/>
      <protection locked="0"/>
    </xf>
    <xf numFmtId="1" fontId="3" fillId="0" borderId="10" xfId="2" applyNumberFormat="1" applyFont="1" applyBorder="1" applyAlignment="1" applyProtection="1">
      <alignment horizontal="center"/>
      <protection hidden="1"/>
    </xf>
    <xf numFmtId="0" fontId="7" fillId="2" borderId="34" xfId="2" applyFont="1" applyFill="1" applyBorder="1" applyAlignment="1" applyProtection="1">
      <protection locked="0"/>
    </xf>
    <xf numFmtId="0" fontId="3" fillId="2" borderId="34" xfId="2" applyFont="1" applyFill="1" applyBorder="1" applyAlignment="1" applyProtection="1">
      <alignment horizontal="center" vertical="center"/>
      <protection hidden="1"/>
    </xf>
    <xf numFmtId="0" fontId="3" fillId="2" borderId="34" xfId="2" applyFont="1" applyFill="1" applyBorder="1" applyAlignment="1" applyProtection="1">
      <alignment horizontal="center"/>
      <protection locked="0"/>
    </xf>
    <xf numFmtId="1" fontId="3" fillId="2" borderId="34" xfId="2" applyNumberFormat="1" applyFont="1" applyFill="1" applyBorder="1" applyAlignment="1" applyProtection="1">
      <alignment horizontal="center"/>
      <protection hidden="1"/>
    </xf>
    <xf numFmtId="0" fontId="7" fillId="0" borderId="30" xfId="2" applyFont="1" applyBorder="1" applyAlignment="1" applyProtection="1">
      <protection locked="0"/>
    </xf>
    <xf numFmtId="0" fontId="3" fillId="0" borderId="30" xfId="2" applyFont="1" applyBorder="1" applyAlignment="1" applyProtection="1">
      <alignment horizontal="center" vertical="center"/>
      <protection hidden="1"/>
    </xf>
    <xf numFmtId="0" fontId="3" fillId="0" borderId="30" xfId="2" applyFont="1" applyBorder="1" applyAlignment="1" applyProtection="1">
      <alignment horizontal="center"/>
      <protection locked="0"/>
    </xf>
    <xf numFmtId="0" fontId="7" fillId="2" borderId="30" xfId="2" applyFont="1" applyFill="1" applyBorder="1" applyAlignment="1" applyProtection="1">
      <protection locked="0"/>
    </xf>
    <xf numFmtId="0" fontId="3" fillId="2" borderId="29" xfId="2" applyFont="1" applyFill="1" applyBorder="1" applyAlignment="1" applyProtection="1">
      <alignment horizontal="center" vertical="center"/>
      <protection hidden="1"/>
    </xf>
    <xf numFmtId="0" fontId="3" fillId="2" borderId="29" xfId="2" applyFont="1" applyFill="1" applyBorder="1" applyAlignment="1" applyProtection="1">
      <alignment horizontal="center"/>
      <protection locked="0"/>
    </xf>
    <xf numFmtId="0" fontId="3" fillId="2" borderId="30" xfId="2" applyFont="1" applyFill="1" applyBorder="1" applyAlignment="1" applyProtection="1">
      <alignment horizontal="center"/>
      <protection locked="0"/>
    </xf>
    <xf numFmtId="0" fontId="7" fillId="0" borderId="13" xfId="2" applyFont="1" applyBorder="1" applyAlignment="1" applyProtection="1">
      <protection locked="0"/>
    </xf>
    <xf numFmtId="0" fontId="3" fillId="0" borderId="13" xfId="2" applyFont="1" applyBorder="1" applyAlignment="1" applyProtection="1">
      <alignment horizontal="center" vertical="center"/>
      <protection hidden="1"/>
    </xf>
    <xf numFmtId="0" fontId="3" fillId="0" borderId="13" xfId="2" applyFont="1" applyBorder="1" applyAlignment="1" applyProtection="1">
      <alignment horizontal="center"/>
      <protection locked="0"/>
    </xf>
    <xf numFmtId="1" fontId="3" fillId="0" borderId="13" xfId="2" applyNumberFormat="1" applyFont="1" applyBorder="1" applyAlignment="1" applyProtection="1">
      <alignment horizontal="center"/>
      <protection hidden="1"/>
    </xf>
    <xf numFmtId="1" fontId="7" fillId="2" borderId="34" xfId="2" applyNumberFormat="1" applyFont="1" applyFill="1" applyBorder="1" applyAlignment="1" applyProtection="1">
      <protection locked="0"/>
    </xf>
    <xf numFmtId="1" fontId="3" fillId="2" borderId="34" xfId="2" applyNumberFormat="1" applyFont="1" applyFill="1" applyBorder="1" applyAlignment="1" applyProtection="1">
      <alignment horizontal="center" vertical="center"/>
      <protection hidden="1"/>
    </xf>
    <xf numFmtId="1" fontId="3" fillId="2" borderId="34" xfId="2" applyNumberFormat="1" applyFont="1" applyFill="1" applyBorder="1" applyAlignment="1" applyProtection="1">
      <alignment horizontal="center"/>
      <protection locked="0"/>
    </xf>
    <xf numFmtId="1" fontId="7" fillId="0" borderId="13" xfId="2" applyNumberFormat="1" applyFont="1" applyBorder="1" applyAlignment="1" applyProtection="1">
      <protection locked="0"/>
    </xf>
    <xf numFmtId="1" fontId="3" fillId="0" borderId="13" xfId="2" applyNumberFormat="1" applyFont="1" applyBorder="1" applyAlignment="1" applyProtection="1">
      <alignment horizontal="center" vertical="center"/>
      <protection hidden="1"/>
    </xf>
    <xf numFmtId="1" fontId="3" fillId="0" borderId="13" xfId="2" applyNumberFormat="1" applyFont="1" applyBorder="1" applyAlignment="1" applyProtection="1">
      <alignment horizontal="center"/>
      <protection locked="0"/>
    </xf>
    <xf numFmtId="1" fontId="7" fillId="0" borderId="31" xfId="2" applyNumberFormat="1" applyFont="1" applyBorder="1" applyAlignment="1" applyProtection="1">
      <protection locked="0"/>
    </xf>
    <xf numFmtId="1" fontId="3" fillId="0" borderId="31" xfId="2" applyNumberFormat="1" applyFont="1" applyBorder="1" applyAlignment="1" applyProtection="1">
      <alignment horizontal="center" vertical="center"/>
      <protection hidden="1"/>
    </xf>
    <xf numFmtId="1" fontId="3" fillId="0" borderId="31" xfId="2" applyNumberFormat="1" applyFont="1" applyBorder="1" applyAlignment="1" applyProtection="1">
      <alignment horizontal="center"/>
      <protection locked="0"/>
    </xf>
    <xf numFmtId="1" fontId="3" fillId="0" borderId="31" xfId="2" applyNumberFormat="1" applyFont="1" applyBorder="1" applyAlignment="1" applyProtection="1">
      <alignment horizontal="center"/>
      <protection hidden="1"/>
    </xf>
    <xf numFmtId="1" fontId="7" fillId="0" borderId="9" xfId="2" applyNumberFormat="1" applyFont="1" applyBorder="1" applyAlignment="1" applyProtection="1">
      <alignment horizontal="left"/>
      <protection locked="0"/>
    </xf>
    <xf numFmtId="1" fontId="7" fillId="2" borderId="10" xfId="2" applyNumberFormat="1" applyFont="1" applyFill="1" applyBorder="1" applyAlignment="1" applyProtection="1">
      <alignment horizontal="left"/>
      <protection locked="0"/>
    </xf>
    <xf numFmtId="0" fontId="3" fillId="2" borderId="10" xfId="2" applyNumberFormat="1" applyFont="1" applyFill="1" applyBorder="1" applyAlignment="1" applyProtection="1">
      <alignment horizontal="center"/>
      <protection hidden="1"/>
    </xf>
    <xf numFmtId="1" fontId="7" fillId="0" borderId="34" xfId="2" applyNumberFormat="1" applyFont="1" applyBorder="1" applyAlignment="1" applyProtection="1">
      <alignment horizontal="left"/>
      <protection locked="0"/>
    </xf>
    <xf numFmtId="0" fontId="3" fillId="0" borderId="34" xfId="2" applyNumberFormat="1" applyFont="1" applyFill="1" applyBorder="1" applyAlignment="1" applyProtection="1">
      <alignment horizontal="center"/>
      <protection hidden="1"/>
    </xf>
    <xf numFmtId="1" fontId="7" fillId="2" borderId="13" xfId="2" applyNumberFormat="1" applyFont="1" applyFill="1" applyBorder="1" applyAlignment="1" applyProtection="1">
      <alignment horizontal="left"/>
      <protection locked="0"/>
    </xf>
    <xf numFmtId="0" fontId="3" fillId="2" borderId="13" xfId="2" applyNumberFormat="1" applyFont="1" applyFill="1" applyBorder="1" applyAlignment="1" applyProtection="1">
      <alignment horizontal="center"/>
      <protection hidden="1"/>
    </xf>
    <xf numFmtId="1" fontId="7" fillId="2" borderId="30" xfId="2" applyNumberFormat="1" applyFont="1" applyFill="1" applyBorder="1" applyAlignment="1" applyProtection="1">
      <alignment horizontal="left"/>
      <protection locked="0"/>
    </xf>
    <xf numFmtId="0" fontId="3" fillId="2" borderId="30" xfId="2" applyNumberFormat="1" applyFont="1" applyFill="1" applyBorder="1" applyAlignment="1" applyProtection="1">
      <alignment horizontal="center"/>
      <protection hidden="1"/>
    </xf>
    <xf numFmtId="1" fontId="7" fillId="0" borderId="30" xfId="2" applyNumberFormat="1" applyFont="1" applyBorder="1" applyAlignment="1" applyProtection="1">
      <alignment horizontal="left"/>
      <protection locked="0"/>
    </xf>
    <xf numFmtId="1" fontId="3" fillId="0" borderId="9" xfId="2" applyNumberFormat="1" applyFont="1" applyBorder="1" applyAlignment="1" applyProtection="1">
      <alignment horizontal="center" wrapText="1"/>
      <protection locked="0"/>
    </xf>
    <xf numFmtId="1" fontId="3" fillId="2" borderId="10" xfId="2" applyNumberFormat="1" applyFont="1" applyFill="1" applyBorder="1" applyAlignment="1" applyProtection="1">
      <alignment horizontal="center" wrapText="1"/>
      <protection locked="0"/>
    </xf>
    <xf numFmtId="1" fontId="3" fillId="0" borderId="10" xfId="2" applyNumberFormat="1" applyFont="1" applyBorder="1" applyAlignment="1" applyProtection="1">
      <alignment horizontal="center" wrapText="1"/>
      <protection locked="0"/>
    </xf>
    <xf numFmtId="1" fontId="7" fillId="2" borderId="9" xfId="2" applyNumberFormat="1" applyFont="1" applyFill="1" applyBorder="1" applyAlignment="1" applyProtection="1">
      <protection locked="0"/>
    </xf>
    <xf numFmtId="1" fontId="3" fillId="2" borderId="9" xfId="2" applyNumberFormat="1" applyFont="1" applyFill="1" applyBorder="1" applyAlignment="1" applyProtection="1">
      <alignment horizontal="center" vertical="center"/>
      <protection hidden="1"/>
    </xf>
    <xf numFmtId="1" fontId="3" fillId="2" borderId="9" xfId="2" applyNumberFormat="1" applyFont="1" applyFill="1" applyBorder="1" applyAlignment="1" applyProtection="1">
      <alignment horizontal="center" wrapText="1"/>
      <protection locked="0"/>
    </xf>
    <xf numFmtId="1" fontId="3" fillId="2" borderId="9" xfId="2" applyNumberFormat="1" applyFont="1" applyFill="1" applyBorder="1" applyAlignment="1" applyProtection="1">
      <alignment horizontal="center"/>
      <protection locked="0"/>
    </xf>
    <xf numFmtId="0" fontId="3" fillId="2" borderId="9" xfId="2" applyNumberFormat="1" applyFont="1" applyFill="1" applyBorder="1" applyAlignment="1" applyProtection="1">
      <alignment horizontal="center"/>
      <protection hidden="1"/>
    </xf>
    <xf numFmtId="1" fontId="3" fillId="2" borderId="9" xfId="2" applyNumberFormat="1" applyFont="1" applyFill="1" applyBorder="1" applyAlignment="1" applyProtection="1">
      <alignment horizontal="center"/>
      <protection hidden="1"/>
    </xf>
    <xf numFmtId="0" fontId="7" fillId="0" borderId="10" xfId="2" applyFont="1" applyBorder="1" applyAlignment="1" applyProtection="1">
      <protection locked="0"/>
    </xf>
    <xf numFmtId="0" fontId="7" fillId="0" borderId="10" xfId="2" applyFont="1" applyBorder="1" applyAlignment="1" applyProtection="1">
      <alignment horizontal="center" vertical="center"/>
      <protection locked="0"/>
    </xf>
    <xf numFmtId="0" fontId="3" fillId="0" borderId="10" xfId="2" applyFont="1" applyBorder="1" applyAlignment="1" applyProtection="1">
      <alignment horizontal="center" wrapText="1"/>
      <protection locked="0"/>
    </xf>
    <xf numFmtId="0" fontId="3" fillId="0" borderId="0" xfId="2" applyFont="1" applyBorder="1" applyAlignment="1" applyProtection="1">
      <alignment wrapText="1"/>
      <protection locked="0"/>
    </xf>
    <xf numFmtId="0" fontId="7" fillId="0" borderId="6" xfId="2" applyFont="1" applyFill="1" applyBorder="1" applyAlignment="1" applyProtection="1">
      <protection locked="0"/>
    </xf>
    <xf numFmtId="0" fontId="3" fillId="0" borderId="6" xfId="2" applyFont="1" applyFill="1" applyBorder="1" applyAlignment="1" applyProtection="1">
      <protection locked="0"/>
    </xf>
    <xf numFmtId="0" fontId="7" fillId="0" borderId="0" xfId="2" applyFont="1" applyBorder="1" applyAlignment="1" applyProtection="1">
      <alignment wrapText="1"/>
      <protection locked="0"/>
    </xf>
    <xf numFmtId="0" fontId="7" fillId="0" borderId="0" xfId="2" applyFont="1" applyProtection="1">
      <protection locked="0"/>
    </xf>
    <xf numFmtId="0" fontId="7" fillId="0" borderId="0" xfId="2" applyFont="1" applyBorder="1" applyAlignment="1" applyProtection="1">
      <alignment horizontal="center" wrapText="1"/>
      <protection locked="0"/>
    </xf>
    <xf numFmtId="0" fontId="7" fillId="0" borderId="0" xfId="2" applyFont="1" applyBorder="1" applyAlignment="1" applyProtection="1">
      <protection locked="0"/>
    </xf>
    <xf numFmtId="0" fontId="68" fillId="42" borderId="5" xfId="388" applyFont="1" applyFill="1" applyBorder="1" applyAlignment="1">
      <alignment horizontal="center" vertical="center" wrapText="1"/>
    </xf>
    <xf numFmtId="0" fontId="168" fillId="2" borderId="10" xfId="280" applyFont="1" applyFill="1" applyBorder="1" applyAlignment="1" applyProtection="1">
      <alignment horizontal="center" wrapText="1"/>
      <protection locked="0"/>
    </xf>
    <xf numFmtId="0" fontId="8" fillId="0" borderId="10" xfId="298" applyFont="1" applyBorder="1" applyAlignment="1" applyProtection="1">
      <alignment horizontal="center" vertical="center"/>
      <protection hidden="1"/>
    </xf>
    <xf numFmtId="0" fontId="8" fillId="0" borderId="10" xfId="298" applyFont="1" applyBorder="1" applyAlignment="1" applyProtection="1">
      <alignment horizontal="center" vertical="center" wrapText="1"/>
      <protection hidden="1"/>
    </xf>
    <xf numFmtId="0" fontId="8" fillId="0" borderId="10" xfId="294" applyFont="1" applyBorder="1" applyAlignment="1" applyProtection="1">
      <alignment horizontal="center" vertical="center" wrapText="1"/>
      <protection hidden="1"/>
    </xf>
    <xf numFmtId="0" fontId="8" fillId="0" borderId="6" xfId="294" applyFont="1" applyBorder="1" applyAlignment="1" applyProtection="1">
      <alignment horizontal="center" vertical="center" wrapText="1"/>
      <protection hidden="1"/>
    </xf>
    <xf numFmtId="1" fontId="96" fillId="0" borderId="0" xfId="2" applyNumberFormat="1" applyFont="1" applyBorder="1" applyAlignment="1">
      <alignment horizontal="center" vertical="center"/>
    </xf>
    <xf numFmtId="0" fontId="96" fillId="0" borderId="0" xfId="2" applyNumberFormat="1" applyFont="1" applyFill="1" applyBorder="1" applyAlignment="1">
      <alignment horizontal="center" vertical="center" wrapText="1"/>
    </xf>
    <xf numFmtId="0" fontId="94" fillId="0" borderId="10" xfId="2" applyFont="1" applyBorder="1" applyAlignment="1">
      <alignment horizontal="center"/>
    </xf>
    <xf numFmtId="1" fontId="96" fillId="0" borderId="10" xfId="2" applyNumberFormat="1" applyFont="1" applyBorder="1" applyAlignment="1">
      <alignment horizontal="center" vertical="center"/>
    </xf>
    <xf numFmtId="0" fontId="96" fillId="0" borderId="0" xfId="2" applyFont="1" applyFill="1" applyBorder="1" applyAlignment="1">
      <alignment horizontal="center" vertical="center" wrapText="1"/>
    </xf>
    <xf numFmtId="0" fontId="78" fillId="0" borderId="3" xfId="0" applyFont="1" applyBorder="1" applyAlignment="1">
      <alignment vertical="center"/>
    </xf>
    <xf numFmtId="1" fontId="113" fillId="0" borderId="1" xfId="371" applyNumberFormat="1" applyFont="1" applyFill="1" applyBorder="1" applyAlignment="1">
      <alignment horizontal="left"/>
    </xf>
    <xf numFmtId="0" fontId="3" fillId="0" borderId="10" xfId="271" applyFont="1" applyFill="1" applyBorder="1" applyAlignment="1" applyProtection="1">
      <alignment horizontal="center" vertical="center"/>
      <protection hidden="1"/>
    </xf>
    <xf numFmtId="0" fontId="10" fillId="53" borderId="10" xfId="0" applyFont="1" applyFill="1" applyBorder="1" applyAlignment="1" applyProtection="1">
      <alignment horizontal="center" vertical="center" wrapText="1"/>
      <protection hidden="1"/>
    </xf>
    <xf numFmtId="0" fontId="116" fillId="0" borderId="3" xfId="271" applyFont="1" applyBorder="1" applyAlignment="1">
      <alignment vertical="center" wrapText="1"/>
    </xf>
    <xf numFmtId="0" fontId="116" fillId="0" borderId="3" xfId="271" applyFont="1" applyBorder="1" applyAlignment="1">
      <alignment vertical="center"/>
    </xf>
    <xf numFmtId="0" fontId="44" fillId="0" borderId="0" xfId="271" applyFont="1" applyBorder="1" applyAlignment="1">
      <alignment vertical="center"/>
    </xf>
    <xf numFmtId="0" fontId="7" fillId="3" borderId="5" xfId="2" applyFont="1" applyFill="1" applyBorder="1" applyAlignment="1" applyProtection="1">
      <protection locked="0"/>
    </xf>
    <xf numFmtId="0" fontId="3" fillId="0" borderId="10" xfId="2" applyFont="1" applyBorder="1" applyAlignment="1">
      <alignment horizontal="center"/>
    </xf>
    <xf numFmtId="0" fontId="2" fillId="0" borderId="0" xfId="2" applyFont="1" applyFill="1" applyAlignment="1" applyProtection="1">
      <alignment horizontal="center" vertical="center"/>
      <protection locked="0"/>
    </xf>
    <xf numFmtId="0" fontId="3" fillId="0" borderId="37" xfId="2" applyFont="1" applyFill="1" applyBorder="1" applyAlignment="1" applyProtection="1">
      <alignment horizontal="center" vertical="center"/>
      <protection hidden="1"/>
    </xf>
    <xf numFmtId="0" fontId="6" fillId="0" borderId="0" xfId="271" applyFont="1" applyBorder="1" applyAlignment="1">
      <alignment vertical="center"/>
    </xf>
    <xf numFmtId="0" fontId="57" fillId="2" borderId="10" xfId="2" applyFont="1" applyFill="1" applyBorder="1" applyAlignment="1">
      <alignment horizontal="center" vertical="center" wrapText="1"/>
    </xf>
    <xf numFmtId="2" fontId="10" fillId="0" borderId="10" xfId="271" applyNumberFormat="1" applyFont="1" applyBorder="1" applyAlignment="1" applyProtection="1">
      <alignment horizontal="center" vertical="center" wrapText="1"/>
      <protection hidden="1"/>
    </xf>
    <xf numFmtId="0" fontId="192" fillId="0" borderId="0" xfId="0" applyFont="1" applyFill="1" applyBorder="1"/>
    <xf numFmtId="14" fontId="192" fillId="0" borderId="0" xfId="0" applyNumberFormat="1" applyFont="1" applyFill="1" applyBorder="1"/>
    <xf numFmtId="0" fontId="113" fillId="0" borderId="0" xfId="372" applyFont="1"/>
    <xf numFmtId="0" fontId="41" fillId="0" borderId="0" xfId="2" applyFont="1" applyBorder="1" applyAlignment="1" applyProtection="1">
      <alignment vertical="center" wrapText="1"/>
      <protection hidden="1"/>
    </xf>
    <xf numFmtId="0" fontId="78" fillId="0" borderId="3" xfId="0" applyFont="1" applyBorder="1" applyAlignment="1">
      <alignment horizontal="center" vertical="center"/>
    </xf>
    <xf numFmtId="0" fontId="59" fillId="0" borderId="3" xfId="271" applyFont="1" applyFill="1" applyBorder="1" applyAlignment="1">
      <alignment vertical="center" wrapText="1"/>
    </xf>
    <xf numFmtId="0" fontId="88" fillId="0" borderId="0" xfId="2" applyFont="1" applyProtection="1">
      <protection hidden="1"/>
    </xf>
    <xf numFmtId="0" fontId="88" fillId="0" borderId="0" xfId="2" applyFont="1" applyFill="1" applyBorder="1" applyProtection="1">
      <protection hidden="1"/>
    </xf>
    <xf numFmtId="0" fontId="212" fillId="0" borderId="0" xfId="2" applyFont="1" applyFill="1" applyBorder="1" applyProtection="1">
      <protection hidden="1"/>
    </xf>
    <xf numFmtId="0" fontId="169" fillId="0" borderId="0" xfId="2" applyFont="1" applyFill="1" applyProtection="1">
      <protection hidden="1"/>
    </xf>
    <xf numFmtId="0" fontId="88" fillId="0" borderId="0" xfId="2" applyFont="1" applyAlignment="1" applyProtection="1">
      <alignment vertical="center"/>
      <protection hidden="1"/>
    </xf>
    <xf numFmtId="0" fontId="88" fillId="0" borderId="0" xfId="2" applyFont="1" applyFill="1" applyBorder="1" applyAlignment="1" applyProtection="1">
      <alignment vertical="center"/>
      <protection hidden="1"/>
    </xf>
    <xf numFmtId="0" fontId="212" fillId="0" borderId="0" xfId="2" applyFont="1" applyFill="1" applyBorder="1" applyAlignment="1" applyProtection="1">
      <alignment vertical="center"/>
      <protection hidden="1"/>
    </xf>
    <xf numFmtId="0" fontId="169" fillId="0" borderId="0" xfId="2" applyFont="1" applyFill="1" applyAlignment="1" applyProtection="1">
      <alignment vertical="center"/>
      <protection hidden="1"/>
    </xf>
    <xf numFmtId="0" fontId="1" fillId="0" borderId="0" xfId="0" applyFont="1"/>
    <xf numFmtId="0" fontId="213" fillId="0" borderId="0" xfId="0" applyFont="1" applyFill="1"/>
    <xf numFmtId="0" fontId="192" fillId="0" borderId="0" xfId="0" applyFont="1" applyFill="1"/>
    <xf numFmtId="0" fontId="1" fillId="0" borderId="0" xfId="0" applyFont="1" applyFill="1"/>
    <xf numFmtId="172" fontId="169" fillId="0" borderId="0" xfId="2" applyNumberFormat="1" applyFont="1" applyFill="1" applyAlignment="1" applyProtection="1">
      <alignment vertical="center"/>
      <protection hidden="1"/>
    </xf>
    <xf numFmtId="0" fontId="190" fillId="0" borderId="0" xfId="2" applyFont="1" applyAlignment="1" applyProtection="1">
      <alignment vertical="center"/>
      <protection hidden="1"/>
    </xf>
    <xf numFmtId="0" fontId="88" fillId="0" borderId="0" xfId="2" applyFont="1" applyFill="1" applyAlignment="1" applyProtection="1">
      <alignment vertical="center"/>
      <protection hidden="1"/>
    </xf>
    <xf numFmtId="0" fontId="214" fillId="0" borderId="0" xfId="2" applyFont="1" applyFill="1" applyAlignment="1" applyProtection="1">
      <alignment vertical="center"/>
      <protection hidden="1"/>
    </xf>
    <xf numFmtId="0" fontId="214" fillId="0" borderId="0" xfId="2" applyFont="1" applyFill="1" applyBorder="1" applyAlignment="1" applyProtection="1">
      <alignment vertical="center"/>
      <protection hidden="1"/>
    </xf>
    <xf numFmtId="0" fontId="215" fillId="0" borderId="0" xfId="2" applyFont="1" applyFill="1" applyAlignment="1" applyProtection="1">
      <alignment vertical="center"/>
      <protection hidden="1"/>
    </xf>
    <xf numFmtId="0" fontId="215" fillId="0" borderId="0" xfId="2" applyFont="1" applyFill="1" applyBorder="1" applyAlignment="1" applyProtection="1">
      <alignment vertical="center"/>
      <protection hidden="1"/>
    </xf>
    <xf numFmtId="0" fontId="216" fillId="0" borderId="0" xfId="2" applyFont="1" applyFill="1" applyBorder="1" applyAlignment="1" applyProtection="1">
      <alignment vertical="center"/>
      <protection hidden="1"/>
    </xf>
    <xf numFmtId="0" fontId="217" fillId="0" borderId="0" xfId="2" applyFont="1" applyFill="1" applyAlignment="1" applyProtection="1">
      <alignment vertical="center"/>
      <protection hidden="1"/>
    </xf>
    <xf numFmtId="0" fontId="215" fillId="0" borderId="0" xfId="2" applyFont="1" applyFill="1" applyProtection="1">
      <protection hidden="1"/>
    </xf>
    <xf numFmtId="0" fontId="215" fillId="0" borderId="0" xfId="2" applyFont="1" applyFill="1" applyBorder="1" applyProtection="1">
      <protection hidden="1"/>
    </xf>
    <xf numFmtId="0" fontId="216" fillId="0" borderId="0" xfId="2" applyFont="1" applyFill="1" applyBorder="1" applyProtection="1">
      <protection hidden="1"/>
    </xf>
    <xf numFmtId="0" fontId="217" fillId="0" borderId="0" xfId="2" applyFont="1" applyFill="1" applyProtection="1">
      <protection hidden="1"/>
    </xf>
    <xf numFmtId="0" fontId="218" fillId="0" borderId="0" xfId="2" applyFont="1" applyFill="1" applyProtection="1">
      <protection hidden="1"/>
    </xf>
    <xf numFmtId="0" fontId="218" fillId="0" borderId="0" xfId="2" applyFont="1" applyFill="1" applyBorder="1" applyProtection="1">
      <protection hidden="1"/>
    </xf>
    <xf numFmtId="0" fontId="219" fillId="0" borderId="0" xfId="2" applyFont="1" applyProtection="1">
      <protection hidden="1"/>
    </xf>
    <xf numFmtId="0" fontId="219" fillId="0" borderId="0" xfId="2" applyFont="1" applyFill="1" applyBorder="1" applyProtection="1">
      <protection hidden="1"/>
    </xf>
    <xf numFmtId="0" fontId="2" fillId="0" borderId="0" xfId="2" applyFont="1" applyFill="1" applyProtection="1">
      <protection locked="0"/>
    </xf>
    <xf numFmtId="0" fontId="78" fillId="0" borderId="3" xfId="0" applyFont="1" applyBorder="1" applyAlignment="1">
      <alignment horizontal="center" vertical="center"/>
    </xf>
    <xf numFmtId="0" fontId="10" fillId="0" borderId="8" xfId="271" applyFont="1" applyBorder="1" applyAlignment="1" applyProtection="1">
      <alignment horizontal="center" vertical="center" wrapText="1"/>
      <protection hidden="1"/>
    </xf>
    <xf numFmtId="2" fontId="3" fillId="0" borderId="10" xfId="0" applyNumberFormat="1" applyFont="1" applyFill="1" applyBorder="1" applyAlignment="1" applyProtection="1">
      <alignment horizontal="center" vertical="center" wrapText="1"/>
      <protection hidden="1"/>
    </xf>
    <xf numFmtId="3" fontId="159" fillId="0" borderId="3" xfId="0" applyNumberFormat="1" applyFont="1" applyFill="1" applyBorder="1" applyAlignment="1" applyProtection="1">
      <alignment horizontal="center" vertical="center"/>
      <protection hidden="1"/>
    </xf>
    <xf numFmtId="0" fontId="78" fillId="0" borderId="10" xfId="0" applyFont="1" applyBorder="1" applyAlignment="1">
      <alignment horizontal="center" vertical="center" wrapText="1"/>
    </xf>
    <xf numFmtId="0" fontId="8" fillId="0" borderId="3" xfId="298" applyFont="1" applyBorder="1" applyAlignment="1" applyProtection="1">
      <alignment horizontal="center" vertical="center" wrapText="1"/>
      <protection hidden="1"/>
    </xf>
    <xf numFmtId="0" fontId="12" fillId="0" borderId="10" xfId="294" applyFont="1" applyBorder="1" applyAlignment="1" applyProtection="1">
      <alignment horizontal="center" vertical="center" wrapText="1"/>
      <protection hidden="1"/>
    </xf>
    <xf numFmtId="2" fontId="8" fillId="0" borderId="3" xfId="298" applyNumberFormat="1" applyFont="1" applyBorder="1" applyAlignment="1" applyProtection="1">
      <alignment horizontal="center" vertical="center"/>
      <protection hidden="1"/>
    </xf>
    <xf numFmtId="0" fontId="12" fillId="2" borderId="3" xfId="1" applyFont="1" applyFill="1" applyBorder="1" applyAlignment="1">
      <alignment horizontal="center" vertical="center" wrapText="1"/>
    </xf>
    <xf numFmtId="0" fontId="42" fillId="2" borderId="2" xfId="1" applyFont="1" applyFill="1" applyBorder="1" applyAlignment="1">
      <alignment horizontal="center" vertical="center"/>
    </xf>
    <xf numFmtId="0" fontId="40" fillId="0" borderId="10" xfId="1" applyFont="1" applyFill="1" applyBorder="1" applyAlignment="1">
      <alignment horizontal="center" vertical="center"/>
    </xf>
    <xf numFmtId="0" fontId="12" fillId="2" borderId="10" xfId="1" applyFont="1" applyFill="1" applyBorder="1" applyAlignment="1">
      <alignment horizontal="center" vertical="center" wrapText="1"/>
    </xf>
    <xf numFmtId="0" fontId="42" fillId="3" borderId="10" xfId="1" applyFont="1" applyFill="1" applyBorder="1" applyAlignment="1">
      <alignment horizontal="center" vertical="center"/>
    </xf>
    <xf numFmtId="3" fontId="42" fillId="3" borderId="10" xfId="1" applyNumberFormat="1" applyFont="1" applyFill="1" applyBorder="1" applyAlignment="1">
      <alignment horizontal="center" vertical="center"/>
    </xf>
    <xf numFmtId="0" fontId="40" fillId="0" borderId="2" xfId="1" applyFont="1" applyBorder="1" applyAlignment="1">
      <alignment horizontal="center" vertical="center"/>
    </xf>
    <xf numFmtId="0" fontId="42" fillId="0" borderId="10" xfId="1" applyFont="1" applyBorder="1" applyAlignment="1">
      <alignment horizontal="center" vertical="center"/>
    </xf>
    <xf numFmtId="0" fontId="42" fillId="2" borderId="10" xfId="1" applyFont="1" applyFill="1" applyBorder="1" applyAlignment="1">
      <alignment horizontal="center" vertical="center" wrapText="1"/>
    </xf>
    <xf numFmtId="9" fontId="40" fillId="0" borderId="2" xfId="1" applyNumberFormat="1" applyFont="1" applyBorder="1" applyAlignment="1">
      <alignment horizontal="center" vertical="center"/>
    </xf>
    <xf numFmtId="0" fontId="48" fillId="0" borderId="0" xfId="364" applyFont="1" applyFill="1" applyBorder="1" applyAlignment="1">
      <alignment horizontal="center" vertical="center"/>
    </xf>
    <xf numFmtId="9" fontId="3" fillId="0" borderId="0" xfId="1" applyNumberFormat="1" applyFont="1" applyFill="1" applyBorder="1" applyAlignment="1">
      <alignment horizontal="center" vertical="center"/>
    </xf>
    <xf numFmtId="0" fontId="42" fillId="2" borderId="11" xfId="1" applyFont="1" applyFill="1" applyBorder="1" applyAlignment="1">
      <alignment horizontal="center" vertical="center"/>
    </xf>
    <xf numFmtId="0" fontId="42" fillId="3" borderId="5" xfId="2" applyFont="1" applyFill="1" applyBorder="1" applyAlignment="1">
      <alignment horizontal="center" vertical="center"/>
    </xf>
    <xf numFmtId="0" fontId="42" fillId="2" borderId="10" xfId="1" applyFont="1" applyFill="1" applyBorder="1" applyAlignment="1">
      <alignment horizontal="center" vertical="center" wrapText="1"/>
    </xf>
    <xf numFmtId="0" fontId="8" fillId="0" borderId="10" xfId="298" applyFont="1" applyFill="1" applyBorder="1" applyAlignment="1" applyProtection="1">
      <alignment horizontal="center" vertical="center"/>
      <protection hidden="1"/>
    </xf>
    <xf numFmtId="0" fontId="8" fillId="0" borderId="10" xfId="298" applyFont="1" applyFill="1" applyBorder="1" applyAlignment="1">
      <alignment horizontal="center" vertical="center"/>
    </xf>
    <xf numFmtId="3" fontId="40" fillId="0" borderId="10" xfId="1" applyNumberFormat="1" applyFont="1" applyFill="1" applyBorder="1" applyAlignment="1">
      <alignment horizontal="center" vertical="center" wrapText="1"/>
    </xf>
    <xf numFmtId="0" fontId="40" fillId="0" borderId="0" xfId="1" applyFont="1" applyFill="1" applyBorder="1" applyAlignment="1">
      <alignment vertical="center"/>
    </xf>
    <xf numFmtId="0" fontId="40" fillId="0" borderId="6" xfId="1" applyFont="1" applyFill="1" applyBorder="1" applyAlignment="1">
      <alignment vertical="center"/>
    </xf>
    <xf numFmtId="0" fontId="40" fillId="0" borderId="0" xfId="1" applyFont="1" applyBorder="1" applyAlignment="1">
      <alignment horizontal="left" vertical="center" wrapText="1"/>
    </xf>
    <xf numFmtId="0" fontId="63" fillId="0" borderId="0" xfId="2" applyFont="1" applyProtection="1">
      <protection locked="0"/>
    </xf>
    <xf numFmtId="0" fontId="100" fillId="0" borderId="0" xfId="372" applyFont="1" applyAlignment="1">
      <alignment horizontal="left" vertical="center" wrapText="1"/>
    </xf>
    <xf numFmtId="0" fontId="61" fillId="0" borderId="0" xfId="271" applyFont="1" applyBorder="1"/>
    <xf numFmtId="0" fontId="140" fillId="0" borderId="0" xfId="284" applyFont="1" applyBorder="1" applyAlignment="1">
      <alignment vertical="center" wrapText="1"/>
    </xf>
    <xf numFmtId="0" fontId="40" fillId="0" borderId="0" xfId="1" applyFont="1" applyBorder="1" applyAlignment="1">
      <alignment horizontal="left" vertical="center"/>
    </xf>
    <xf numFmtId="0" fontId="42" fillId="0" borderId="0" xfId="1" applyFont="1" applyBorder="1" applyAlignment="1">
      <alignment horizontal="left" vertical="center"/>
    </xf>
    <xf numFmtId="0" fontId="100" fillId="0" borderId="0" xfId="372" applyFont="1" applyAlignment="1">
      <alignment horizontal="left" vertical="center"/>
    </xf>
    <xf numFmtId="0" fontId="40" fillId="0" borderId="0" xfId="1" applyFont="1" applyBorder="1" applyAlignment="1">
      <alignment horizontal="left" vertical="center"/>
    </xf>
    <xf numFmtId="0" fontId="42" fillId="0" borderId="0" xfId="1" applyFont="1" applyBorder="1" applyAlignment="1">
      <alignment horizontal="left" vertical="center"/>
    </xf>
    <xf numFmtId="0" fontId="40" fillId="0" borderId="0" xfId="1" applyFont="1" applyBorder="1" applyAlignment="1">
      <alignment horizontal="center" vertical="center"/>
    </xf>
    <xf numFmtId="0" fontId="42" fillId="0" borderId="0" xfId="1" applyFont="1" applyBorder="1" applyAlignment="1">
      <alignment horizontal="left"/>
    </xf>
    <xf numFmtId="0" fontId="44" fillId="0" borderId="0" xfId="372" applyFont="1"/>
    <xf numFmtId="0" fontId="8" fillId="0" borderId="0" xfId="372" applyFont="1"/>
    <xf numFmtId="0" fontId="165" fillId="0" borderId="0" xfId="1" applyFont="1" applyAlignment="1">
      <alignment vertical="center"/>
    </xf>
    <xf numFmtId="0" fontId="57" fillId="0" borderId="9" xfId="384" applyFont="1" applyFill="1" applyBorder="1" applyAlignment="1">
      <alignment horizontal="center" vertical="center"/>
    </xf>
    <xf numFmtId="0" fontId="40" fillId="0" borderId="0" xfId="1" applyFont="1" applyBorder="1" applyAlignment="1"/>
    <xf numFmtId="3" fontId="42" fillId="3" borderId="10" xfId="1" applyNumberFormat="1" applyFont="1" applyFill="1" applyBorder="1" applyAlignment="1">
      <alignment horizontal="center" vertical="center"/>
    </xf>
    <xf numFmtId="0" fontId="44" fillId="0" borderId="31" xfId="1" applyFont="1" applyFill="1" applyBorder="1" applyAlignment="1">
      <alignment horizontal="center" vertical="center" wrapText="1"/>
    </xf>
    <xf numFmtId="0" fontId="44" fillId="0" borderId="30" xfId="1" applyFont="1" applyFill="1" applyBorder="1" applyAlignment="1">
      <alignment horizontal="center" vertical="center"/>
    </xf>
    <xf numFmtId="0" fontId="44" fillId="0" borderId="13" xfId="1" applyFont="1" applyFill="1" applyBorder="1" applyAlignment="1">
      <alignment horizontal="center" vertical="center"/>
    </xf>
    <xf numFmtId="0" fontId="44" fillId="0" borderId="30" xfId="1" applyFont="1" applyFill="1" applyBorder="1" applyAlignment="1">
      <alignment horizontal="center" wrapText="1"/>
    </xf>
    <xf numFmtId="0" fontId="44" fillId="0" borderId="30" xfId="1" applyFont="1" applyFill="1" applyBorder="1" applyAlignment="1">
      <alignment vertical="center"/>
    </xf>
    <xf numFmtId="0" fontId="44" fillId="0" borderId="13" xfId="1" applyFont="1" applyFill="1" applyBorder="1" applyAlignment="1">
      <alignment vertical="center"/>
    </xf>
    <xf numFmtId="0" fontId="169" fillId="0" borderId="0" xfId="0" applyFont="1" applyFill="1"/>
    <xf numFmtId="9" fontId="10" fillId="0" borderId="10" xfId="4" applyFont="1" applyBorder="1" applyAlignment="1">
      <alignment horizontal="center" vertical="center"/>
    </xf>
    <xf numFmtId="0" fontId="146" fillId="2" borderId="2" xfId="2" applyFont="1" applyFill="1" applyBorder="1" applyAlignment="1">
      <alignment horizontal="center" vertical="center"/>
    </xf>
    <xf numFmtId="0" fontId="6" fillId="0" borderId="10" xfId="386" applyFont="1" applyFill="1" applyBorder="1" applyAlignment="1">
      <alignment horizontal="center" vertical="center" wrapText="1"/>
    </xf>
    <xf numFmtId="0" fontId="9" fillId="0" borderId="0" xfId="2" applyFont="1" applyAlignment="1">
      <alignment vertical="center"/>
    </xf>
    <xf numFmtId="0" fontId="7" fillId="0" borderId="0" xfId="2" applyFont="1" applyAlignment="1">
      <alignment vertical="center"/>
    </xf>
    <xf numFmtId="0" fontId="220" fillId="0" borderId="10" xfId="0" applyFont="1" applyBorder="1" applyAlignment="1">
      <alignment horizontal="center" vertical="center"/>
    </xf>
    <xf numFmtId="172" fontId="2" fillId="0" borderId="10" xfId="0" applyNumberFormat="1" applyFont="1" applyFill="1" applyBorder="1" applyAlignment="1">
      <alignment horizontal="center" vertical="center" wrapText="1"/>
    </xf>
    <xf numFmtId="0" fontId="2" fillId="0" borderId="10" xfId="0" applyFont="1" applyFill="1" applyBorder="1" applyAlignment="1">
      <alignment horizontal="center" vertical="center" wrapText="1"/>
    </xf>
    <xf numFmtId="0" fontId="3" fillId="0" borderId="0" xfId="271" applyFont="1" applyBorder="1" applyAlignment="1">
      <alignment horizontal="center"/>
    </xf>
    <xf numFmtId="0" fontId="41" fillId="2" borderId="3" xfId="271" applyFont="1" applyFill="1" applyBorder="1" applyAlignment="1">
      <alignment horizontal="center" vertical="center"/>
    </xf>
    <xf numFmtId="0" fontId="41" fillId="2" borderId="3" xfId="271" applyFont="1" applyFill="1" applyBorder="1" applyAlignment="1">
      <alignment horizontal="center" vertical="center" wrapText="1"/>
    </xf>
    <xf numFmtId="2" fontId="10" fillId="0" borderId="3" xfId="271" applyNumberFormat="1" applyFont="1" applyBorder="1" applyAlignment="1" applyProtection="1">
      <alignment horizontal="center" vertical="center" wrapText="1"/>
      <protection hidden="1"/>
    </xf>
    <xf numFmtId="0" fontId="3" fillId="0" borderId="9" xfId="271" applyFont="1" applyBorder="1" applyAlignment="1" applyProtection="1">
      <alignment horizontal="center" vertical="center" wrapText="1"/>
      <protection hidden="1"/>
    </xf>
    <xf numFmtId="0" fontId="9" fillId="0" borderId="9" xfId="271" applyFont="1" applyFill="1" applyBorder="1" applyAlignment="1" applyProtection="1">
      <alignment horizontal="center" vertical="center" wrapText="1"/>
      <protection hidden="1"/>
    </xf>
    <xf numFmtId="0" fontId="10" fillId="0" borderId="9" xfId="271" applyNumberFormat="1" applyFont="1" applyFill="1" applyBorder="1" applyAlignment="1" applyProtection="1">
      <alignment horizontal="center" vertical="center" wrapText="1"/>
      <protection hidden="1"/>
    </xf>
    <xf numFmtId="0" fontId="59" fillId="0" borderId="10" xfId="271" applyFont="1" applyBorder="1"/>
    <xf numFmtId="0" fontId="116" fillId="3" borderId="10" xfId="271" applyFont="1" applyFill="1" applyBorder="1" applyAlignment="1">
      <alignment horizontal="center" vertical="center" wrapText="1"/>
    </xf>
    <xf numFmtId="0" fontId="9" fillId="0" borderId="6" xfId="271" applyFont="1" applyFill="1" applyBorder="1" applyAlignment="1" applyProtection="1">
      <alignment horizontal="center" vertical="center" wrapText="1"/>
      <protection hidden="1"/>
    </xf>
    <xf numFmtId="3" fontId="6" fillId="0" borderId="3" xfId="369" applyNumberFormat="1" applyFont="1" applyFill="1" applyBorder="1" applyAlignment="1">
      <alignment horizontal="center" vertical="center" wrapText="1"/>
    </xf>
    <xf numFmtId="0" fontId="143" fillId="0" borderId="0" xfId="271" applyFont="1"/>
    <xf numFmtId="0" fontId="44" fillId="0" borderId="10" xfId="271" applyFont="1" applyBorder="1" applyAlignment="1">
      <alignment horizontal="center" vertical="center"/>
    </xf>
    <xf numFmtId="0" fontId="44" fillId="0" borderId="10" xfId="271" applyFont="1" applyFill="1" applyBorder="1" applyAlignment="1"/>
    <xf numFmtId="0" fontId="44" fillId="0" borderId="10" xfId="271" applyFont="1" applyFill="1" applyBorder="1" applyAlignment="1">
      <alignment vertical="center"/>
    </xf>
    <xf numFmtId="0" fontId="6" fillId="0" borderId="10" xfId="366" applyFont="1" applyBorder="1" applyAlignment="1">
      <alignment horizontal="center" vertical="center"/>
    </xf>
    <xf numFmtId="0" fontId="8" fillId="0" borderId="10" xfId="378" applyFont="1" applyFill="1" applyBorder="1" applyAlignment="1">
      <alignment wrapText="1"/>
    </xf>
    <xf numFmtId="2" fontId="12" fillId="0" borderId="10" xfId="170" applyNumberFormat="1" applyFont="1" applyFill="1" applyBorder="1" applyAlignment="1">
      <alignment horizontal="center" vertical="center" wrapText="1"/>
    </xf>
    <xf numFmtId="0" fontId="8" fillId="0" borderId="10" xfId="378" applyFont="1" applyFill="1" applyBorder="1" applyAlignment="1">
      <alignment horizontal="center" vertical="center" wrapText="1"/>
    </xf>
    <xf numFmtId="2" fontId="12" fillId="0" borderId="46" xfId="170" applyNumberFormat="1" applyFont="1" applyFill="1" applyBorder="1" applyAlignment="1">
      <alignment horizontal="center" vertical="center" wrapText="1"/>
    </xf>
    <xf numFmtId="2" fontId="12" fillId="0" borderId="9" xfId="170" applyNumberFormat="1" applyFont="1" applyFill="1" applyBorder="1" applyAlignment="1">
      <alignment horizontal="center" vertical="center" wrapText="1"/>
    </xf>
    <xf numFmtId="0" fontId="144" fillId="0" borderId="10" xfId="378" applyFont="1" applyBorder="1" applyAlignment="1">
      <alignment horizontal="left" vertical="center" wrapText="1"/>
    </xf>
    <xf numFmtId="0" fontId="8" fillId="0" borderId="10" xfId="378" applyFont="1" applyFill="1" applyBorder="1" applyAlignment="1">
      <alignment vertical="center" wrapText="1"/>
    </xf>
    <xf numFmtId="0" fontId="8" fillId="0" borderId="9" xfId="378" applyFont="1" applyFill="1" applyBorder="1" applyAlignment="1">
      <alignment vertical="center" wrapText="1"/>
    </xf>
    <xf numFmtId="0" fontId="12" fillId="0" borderId="10" xfId="378" applyFont="1" applyFill="1" applyBorder="1" applyAlignment="1">
      <alignment horizontal="center" vertical="center" wrapText="1"/>
    </xf>
    <xf numFmtId="2" fontId="12" fillId="0" borderId="3" xfId="170" applyNumberFormat="1" applyFont="1" applyFill="1" applyBorder="1" applyAlignment="1">
      <alignment horizontal="center" vertical="center" wrapText="1"/>
    </xf>
    <xf numFmtId="0" fontId="40" fillId="0" borderId="10" xfId="1" applyFont="1" applyFill="1" applyBorder="1" applyAlignment="1">
      <alignment horizontal="center" vertical="center"/>
    </xf>
    <xf numFmtId="0" fontId="40" fillId="0" borderId="0" xfId="1" applyFont="1" applyBorder="1" applyAlignment="1">
      <alignment horizontal="left" vertical="center"/>
    </xf>
    <xf numFmtId="0" fontId="144" fillId="0" borderId="1" xfId="378" applyFont="1" applyBorder="1" applyAlignment="1"/>
    <xf numFmtId="176" fontId="144" fillId="0" borderId="0" xfId="378" applyNumberFormat="1" applyFont="1" applyAlignment="1">
      <alignment horizontal="left"/>
    </xf>
    <xf numFmtId="0" fontId="42" fillId="0" borderId="0" xfId="1" applyFont="1" applyAlignment="1">
      <alignment vertical="center"/>
    </xf>
    <xf numFmtId="0" fontId="44" fillId="0" borderId="3" xfId="271" applyFont="1" applyBorder="1" applyAlignment="1" applyProtection="1">
      <alignment horizontal="center" vertical="center" wrapText="1"/>
      <protection hidden="1"/>
    </xf>
    <xf numFmtId="0" fontId="44" fillId="0" borderId="9" xfId="271" applyFont="1" applyBorder="1" applyAlignment="1" applyProtection="1">
      <alignment horizontal="center" vertical="center" wrapText="1"/>
      <protection hidden="1"/>
    </xf>
    <xf numFmtId="0" fontId="44" fillId="0" borderId="29" xfId="271" applyFont="1" applyBorder="1" applyAlignment="1" applyProtection="1">
      <alignment horizontal="center" vertical="center" wrapText="1"/>
      <protection hidden="1"/>
    </xf>
    <xf numFmtId="0" fontId="40" fillId="0" borderId="10" xfId="1" applyFont="1" applyFill="1" applyBorder="1" applyAlignment="1">
      <alignment horizontal="center" vertical="center"/>
    </xf>
    <xf numFmtId="0" fontId="40" fillId="0" borderId="3" xfId="1" applyFont="1" applyFill="1" applyBorder="1" applyAlignment="1">
      <alignment horizontal="center" vertical="center"/>
    </xf>
    <xf numFmtId="0" fontId="6" fillId="0" borderId="2" xfId="277" applyFont="1" applyBorder="1" applyAlignment="1">
      <alignment horizontal="center" vertical="center" wrapText="1"/>
    </xf>
    <xf numFmtId="0" fontId="12" fillId="3" borderId="10" xfId="271" applyFont="1" applyFill="1" applyBorder="1" applyAlignment="1">
      <alignment horizontal="center" vertical="center" wrapText="1"/>
    </xf>
    <xf numFmtId="3" fontId="12" fillId="3" borderId="10" xfId="271" applyNumberFormat="1" applyFont="1" applyFill="1" applyBorder="1" applyAlignment="1" applyProtection="1">
      <alignment horizontal="center" vertical="center" wrapText="1"/>
      <protection hidden="1"/>
    </xf>
    <xf numFmtId="0" fontId="44" fillId="0" borderId="10" xfId="271" applyFont="1" applyFill="1" applyBorder="1" applyAlignment="1" applyProtection="1">
      <alignment horizontal="center" vertical="center" wrapText="1"/>
      <protection hidden="1"/>
    </xf>
    <xf numFmtId="3" fontId="44" fillId="0" borderId="10" xfId="271" applyNumberFormat="1" applyFont="1" applyFill="1" applyBorder="1" applyAlignment="1" applyProtection="1">
      <alignment horizontal="center" vertical="center" wrapText="1"/>
      <protection hidden="1"/>
    </xf>
    <xf numFmtId="2" fontId="44" fillId="0" borderId="29" xfId="271" applyNumberFormat="1" applyFont="1" applyBorder="1" applyAlignment="1" applyProtection="1">
      <alignment horizontal="center" vertical="center" wrapText="1"/>
      <protection hidden="1"/>
    </xf>
    <xf numFmtId="1" fontId="44" fillId="0" borderId="29" xfId="271" applyNumberFormat="1" applyFont="1" applyBorder="1" applyAlignment="1" applyProtection="1">
      <alignment horizontal="center" vertical="center" wrapText="1"/>
      <protection hidden="1"/>
    </xf>
    <xf numFmtId="3" fontId="44" fillId="0" borderId="29" xfId="271" applyNumberFormat="1" applyFont="1" applyBorder="1" applyAlignment="1" applyProtection="1">
      <alignment horizontal="center" vertical="center" wrapText="1"/>
      <protection hidden="1"/>
    </xf>
    <xf numFmtId="3" fontId="44" fillId="0" borderId="29" xfId="271" applyNumberFormat="1" applyFont="1" applyFill="1" applyBorder="1" applyAlignment="1" applyProtection="1">
      <alignment horizontal="center" vertical="center"/>
      <protection hidden="1"/>
    </xf>
    <xf numFmtId="3" fontId="44" fillId="0" borderId="30" xfId="271" applyNumberFormat="1" applyFont="1" applyBorder="1" applyAlignment="1" applyProtection="1">
      <alignment horizontal="center" vertical="center" wrapText="1"/>
      <protection hidden="1"/>
    </xf>
    <xf numFmtId="3" fontId="44" fillId="0" borderId="30" xfId="271" applyNumberFormat="1" applyFont="1" applyFill="1" applyBorder="1" applyAlignment="1" applyProtection="1">
      <alignment horizontal="center" vertical="center" wrapText="1"/>
      <protection hidden="1"/>
    </xf>
    <xf numFmtId="3" fontId="44" fillId="0" borderId="13" xfId="271" applyNumberFormat="1" applyFont="1" applyBorder="1" applyAlignment="1" applyProtection="1">
      <alignment horizontal="center" vertical="center" wrapText="1"/>
      <protection hidden="1"/>
    </xf>
    <xf numFmtId="3" fontId="44" fillId="0" borderId="34" xfId="271" applyNumberFormat="1" applyFont="1" applyBorder="1" applyAlignment="1" applyProtection="1">
      <alignment horizontal="center" vertical="center" wrapText="1"/>
      <protection hidden="1"/>
    </xf>
    <xf numFmtId="3" fontId="44" fillId="0" borderId="31" xfId="271" applyNumberFormat="1" applyFont="1" applyBorder="1" applyAlignment="1" applyProtection="1">
      <alignment horizontal="center" vertical="center" wrapText="1"/>
      <protection hidden="1"/>
    </xf>
    <xf numFmtId="0" fontId="42" fillId="0" borderId="3" xfId="1" applyFont="1" applyFill="1" applyBorder="1" applyAlignment="1">
      <alignment vertical="center" wrapText="1"/>
    </xf>
    <xf numFmtId="0" fontId="42" fillId="0" borderId="10" xfId="1" applyFont="1" applyFill="1" applyBorder="1" applyAlignment="1">
      <alignment horizontal="left" vertical="top"/>
    </xf>
    <xf numFmtId="0" fontId="2" fillId="0" borderId="10" xfId="0" applyFont="1" applyBorder="1" applyAlignment="1">
      <alignment horizontal="center" vertical="center" wrapText="1"/>
    </xf>
    <xf numFmtId="0" fontId="44" fillId="0" borderId="9" xfId="271" applyFont="1" applyBorder="1" applyAlignment="1" applyProtection="1">
      <alignment horizontal="center" vertical="center" wrapText="1"/>
      <protection hidden="1"/>
    </xf>
    <xf numFmtId="0" fontId="44" fillId="0" borderId="31" xfId="271" applyFont="1" applyBorder="1" applyAlignment="1" applyProtection="1">
      <alignment horizontal="center" vertical="center" wrapText="1"/>
      <protection hidden="1"/>
    </xf>
    <xf numFmtId="0" fontId="44" fillId="0" borderId="10" xfId="271" applyFont="1" applyBorder="1" applyAlignment="1" applyProtection="1">
      <alignment horizontal="center" vertical="center" wrapText="1"/>
      <protection hidden="1"/>
    </xf>
    <xf numFmtId="1" fontId="40" fillId="0" borderId="3" xfId="1" applyNumberFormat="1" applyFont="1" applyFill="1" applyBorder="1" applyAlignment="1">
      <alignment horizontal="center" vertical="center"/>
    </xf>
    <xf numFmtId="0" fontId="40" fillId="0" borderId="3" xfId="1" applyFont="1" applyFill="1" applyBorder="1" applyAlignment="1">
      <alignment horizontal="center" vertical="center"/>
    </xf>
    <xf numFmtId="0" fontId="115" fillId="0" borderId="0" xfId="271" applyFont="1" applyAlignment="1"/>
    <xf numFmtId="0" fontId="40" fillId="57" borderId="10" xfId="1" applyFont="1" applyFill="1" applyBorder="1" applyAlignment="1">
      <alignment horizontal="center" vertical="center"/>
    </xf>
    <xf numFmtId="0" fontId="40" fillId="57" borderId="11" xfId="1" applyFont="1" applyFill="1" applyBorder="1" applyAlignment="1">
      <alignment horizontal="center" vertical="center"/>
    </xf>
    <xf numFmtId="0" fontId="6" fillId="0" borderId="10" xfId="366" applyFont="1" applyFill="1" applyBorder="1" applyAlignment="1">
      <alignment horizontal="center" vertical="center"/>
    </xf>
    <xf numFmtId="0" fontId="70" fillId="0" borderId="15" xfId="366" applyFont="1" applyFill="1" applyBorder="1" applyAlignment="1">
      <alignment horizontal="left" vertical="center" wrapText="1"/>
    </xf>
    <xf numFmtId="0" fontId="6" fillId="0" borderId="10" xfId="393" applyNumberFormat="1" applyFont="1" applyFill="1" applyBorder="1" applyAlignment="1">
      <alignment horizontal="left" vertical="center" wrapText="1"/>
    </xf>
    <xf numFmtId="0" fontId="6" fillId="0" borderId="5" xfId="366" applyFont="1" applyFill="1" applyBorder="1" applyAlignment="1">
      <alignment horizontal="center" vertical="center"/>
    </xf>
    <xf numFmtId="0" fontId="0" fillId="0" borderId="10" xfId="0" applyFill="1" applyBorder="1"/>
    <xf numFmtId="0" fontId="6" fillId="0" borderId="4" xfId="366" applyFont="1" applyFill="1" applyBorder="1" applyAlignment="1">
      <alignment horizontal="center" vertical="center"/>
    </xf>
    <xf numFmtId="0" fontId="78" fillId="0" borderId="10" xfId="0" applyFont="1" applyFill="1" applyBorder="1" applyAlignment="1">
      <alignment horizontal="left" vertical="center" wrapText="1"/>
    </xf>
    <xf numFmtId="0" fontId="6" fillId="0" borderId="1" xfId="366" applyFont="1" applyFill="1" applyBorder="1" applyAlignment="1">
      <alignment horizontal="center" vertical="center"/>
    </xf>
    <xf numFmtId="0" fontId="6" fillId="0" borderId="80" xfId="366" applyFont="1" applyFill="1" applyBorder="1" applyAlignment="1">
      <alignment horizontal="center" vertical="center"/>
    </xf>
    <xf numFmtId="0" fontId="6" fillId="0" borderId="47" xfId="366" applyFont="1" applyFill="1" applyBorder="1" applyAlignment="1">
      <alignment vertical="center"/>
    </xf>
    <xf numFmtId="0" fontId="79" fillId="0" borderId="0" xfId="0" applyFont="1" applyFill="1" applyBorder="1" applyAlignment="1">
      <alignment horizontal="center" vertical="center" textRotation="90" wrapText="1"/>
    </xf>
    <xf numFmtId="0" fontId="6" fillId="0" borderId="0" xfId="366" applyFont="1" applyFill="1" applyBorder="1" applyAlignment="1">
      <alignment vertical="center"/>
    </xf>
    <xf numFmtId="0" fontId="6" fillId="0" borderId="0" xfId="366" applyFont="1" applyFill="1" applyBorder="1" applyAlignment="1">
      <alignment horizontal="center" vertical="center"/>
    </xf>
    <xf numFmtId="0" fontId="6" fillId="0" borderId="0" xfId="366" applyFont="1" applyFill="1" applyBorder="1" applyAlignment="1">
      <alignment vertical="center" wrapText="1"/>
    </xf>
    <xf numFmtId="3" fontId="6" fillId="0" borderId="0" xfId="366" applyNumberFormat="1" applyFont="1" applyFill="1" applyBorder="1" applyAlignment="1">
      <alignment horizontal="center" vertical="center" wrapText="1"/>
    </xf>
    <xf numFmtId="0" fontId="79" fillId="0" borderId="0" xfId="0" applyFont="1" applyFill="1" applyAlignment="1">
      <alignment vertical="center"/>
    </xf>
    <xf numFmtId="3" fontId="6" fillId="0" borderId="10" xfId="366" applyNumberFormat="1" applyFont="1" applyFill="1" applyBorder="1" applyAlignment="1">
      <alignment horizontal="left" vertical="center"/>
    </xf>
    <xf numFmtId="0" fontId="6" fillId="0" borderId="0" xfId="393" applyNumberFormat="1" applyFont="1" applyFill="1" applyBorder="1" applyAlignment="1">
      <alignment horizontal="left" vertical="center" wrapText="1"/>
    </xf>
    <xf numFmtId="0" fontId="2" fillId="0" borderId="10" xfId="0" applyFont="1" applyBorder="1" applyAlignment="1">
      <alignment horizontal="center" vertical="center" wrapText="1"/>
    </xf>
    <xf numFmtId="0" fontId="40" fillId="57" borderId="10" xfId="1" applyNumberFormat="1" applyFont="1" applyFill="1" applyBorder="1" applyAlignment="1">
      <alignment horizontal="center" vertical="center"/>
    </xf>
    <xf numFmtId="0" fontId="6" fillId="0" borderId="9" xfId="365" applyFont="1" applyBorder="1"/>
    <xf numFmtId="0" fontId="127" fillId="0" borderId="0" xfId="365" applyFont="1" applyAlignment="1">
      <alignment horizontal="left"/>
    </xf>
    <xf numFmtId="0" fontId="47" fillId="0" borderId="0" xfId="365" applyFont="1" applyAlignment="1">
      <alignment vertical="top" wrapText="1"/>
    </xf>
    <xf numFmtId="0" fontId="6" fillId="0" borderId="0" xfId="2" applyFont="1" applyFill="1" applyBorder="1" applyAlignment="1">
      <alignment vertical="center" wrapText="1"/>
    </xf>
    <xf numFmtId="0" fontId="134" fillId="0" borderId="10" xfId="271" applyFont="1" applyBorder="1" applyAlignment="1">
      <alignment horizontal="center" vertical="center" wrapText="1"/>
    </xf>
    <xf numFmtId="0" fontId="40" fillId="0" borderId="0" xfId="1" applyFont="1" applyBorder="1" applyAlignment="1">
      <alignment horizontal="left" vertical="center"/>
    </xf>
    <xf numFmtId="0" fontId="79" fillId="0" borderId="10" xfId="0" applyFont="1" applyFill="1" applyBorder="1" applyAlignment="1">
      <alignment horizontal="center" vertical="center"/>
    </xf>
    <xf numFmtId="0" fontId="40" fillId="0" borderId="10" xfId="1" applyFont="1" applyFill="1" applyBorder="1" applyAlignment="1">
      <alignment horizontal="center" vertical="center"/>
    </xf>
    <xf numFmtId="0" fontId="58" fillId="0" borderId="1" xfId="0" applyFont="1" applyFill="1" applyBorder="1" applyAlignment="1">
      <alignment vertical="center"/>
    </xf>
    <xf numFmtId="0" fontId="6" fillId="0" borderId="0" xfId="366" applyFont="1" applyFill="1" applyBorder="1" applyAlignment="1">
      <alignment horizontal="right" vertical="center"/>
    </xf>
    <xf numFmtId="0" fontId="72" fillId="0" borderId="10" xfId="366" applyFont="1" applyFill="1" applyBorder="1" applyAlignment="1">
      <alignment horizontal="center" vertical="center" wrapText="1"/>
    </xf>
    <xf numFmtId="0" fontId="6" fillId="0" borderId="0" xfId="0" applyFont="1" applyFill="1" applyAlignment="1">
      <alignment wrapText="1"/>
    </xf>
    <xf numFmtId="0" fontId="6" fillId="0" borderId="0" xfId="366" applyNumberFormat="1" applyFont="1" applyFill="1" applyBorder="1" applyAlignment="1">
      <alignment horizontal="left" vertical="center" wrapText="1"/>
    </xf>
    <xf numFmtId="0" fontId="6" fillId="0" borderId="0" xfId="366" applyFont="1" applyFill="1" applyAlignment="1">
      <alignment vertical="center"/>
    </xf>
    <xf numFmtId="3" fontId="6" fillId="0" borderId="0" xfId="366" applyNumberFormat="1" applyFont="1" applyFill="1" applyAlignment="1">
      <alignment vertical="center"/>
    </xf>
    <xf numFmtId="0" fontId="6" fillId="0" borderId="0" xfId="0" applyFont="1" applyFill="1"/>
    <xf numFmtId="0" fontId="70" fillId="0" borderId="7" xfId="369" applyFont="1" applyFill="1" applyBorder="1" applyAlignment="1">
      <alignment horizontal="left" vertical="center" wrapText="1"/>
    </xf>
    <xf numFmtId="0" fontId="57" fillId="0" borderId="10" xfId="366" applyFont="1" applyFill="1" applyBorder="1" applyAlignment="1">
      <alignment horizontal="center" vertical="center"/>
    </xf>
    <xf numFmtId="0" fontId="224" fillId="0" borderId="0" xfId="0" applyFont="1" applyBorder="1"/>
    <xf numFmtId="0" fontId="224" fillId="0" borderId="0" xfId="0" applyFont="1" applyBorder="1" applyAlignment="1">
      <alignment horizontal="right"/>
    </xf>
    <xf numFmtId="0" fontId="225" fillId="0" borderId="0" xfId="0" applyFont="1" applyBorder="1" applyAlignment="1">
      <alignment vertical="center" wrapText="1"/>
    </xf>
    <xf numFmtId="0" fontId="223" fillId="0" borderId="0" xfId="0" applyFont="1" applyBorder="1" applyAlignment="1">
      <alignment vertical="center" wrapText="1"/>
    </xf>
    <xf numFmtId="0" fontId="61" fillId="0" borderId="0" xfId="0" applyFont="1"/>
    <xf numFmtId="0" fontId="226" fillId="0" borderId="0" xfId="0" applyFont="1" applyBorder="1" applyAlignment="1">
      <alignment vertical="center"/>
    </xf>
    <xf numFmtId="0" fontId="225" fillId="0" borderId="0" xfId="0" applyFont="1" applyBorder="1" applyAlignment="1">
      <alignment vertical="center"/>
    </xf>
    <xf numFmtId="0" fontId="225" fillId="0" borderId="0" xfId="0" applyFont="1" applyBorder="1" applyAlignment="1">
      <alignment horizontal="center" vertical="center" wrapText="1"/>
    </xf>
    <xf numFmtId="0" fontId="224" fillId="0" borderId="0" xfId="0" applyFont="1" applyBorder="1" applyAlignment="1">
      <alignment horizontal="center" vertical="center" wrapText="1"/>
    </xf>
    <xf numFmtId="0" fontId="61" fillId="0" borderId="1" xfId="0" applyFont="1" applyBorder="1" applyAlignment="1" applyProtection="1">
      <alignment horizontal="right"/>
      <protection hidden="1"/>
    </xf>
    <xf numFmtId="0" fontId="225" fillId="3" borderId="10" xfId="0" applyFont="1" applyFill="1" applyBorder="1" applyAlignment="1">
      <alignment horizontal="center" vertical="center" wrapText="1"/>
    </xf>
    <xf numFmtId="0" fontId="225" fillId="0" borderId="10" xfId="0" applyFont="1" applyBorder="1" applyAlignment="1">
      <alignment horizontal="center" vertical="center"/>
    </xf>
    <xf numFmtId="0" fontId="225" fillId="0" borderId="10" xfId="0" applyFont="1" applyBorder="1" applyAlignment="1">
      <alignment horizontal="center" vertical="center" wrapText="1"/>
    </xf>
    <xf numFmtId="0" fontId="224" fillId="0" borderId="6" xfId="0" applyFont="1" applyBorder="1"/>
    <xf numFmtId="0" fontId="232" fillId="60" borderId="0" xfId="0" applyFont="1" applyFill="1" applyBorder="1" applyAlignment="1">
      <alignment vertical="center" wrapText="1"/>
    </xf>
    <xf numFmtId="0" fontId="224" fillId="0" borderId="0" xfId="0" applyFont="1" applyBorder="1" applyAlignment="1"/>
    <xf numFmtId="0" fontId="217" fillId="0" borderId="0" xfId="0" applyFont="1" applyAlignment="1">
      <alignment wrapText="1"/>
    </xf>
    <xf numFmtId="0" fontId="224" fillId="0" borderId="0" xfId="0" applyFont="1" applyBorder="1" applyAlignment="1">
      <alignment vertical="center"/>
    </xf>
    <xf numFmtId="0" fontId="217" fillId="0" borderId="12" xfId="0" applyFont="1" applyBorder="1" applyAlignment="1"/>
    <xf numFmtId="0" fontId="217" fillId="0" borderId="0" xfId="0" applyFont="1" applyAlignment="1">
      <alignment vertical="center"/>
    </xf>
    <xf numFmtId="0" fontId="217" fillId="0" borderId="0" xfId="0" applyFont="1" applyAlignment="1"/>
    <xf numFmtId="0" fontId="225" fillId="0" borderId="0" xfId="0" applyFont="1" applyBorder="1" applyAlignment="1">
      <alignment horizontal="right" vertical="center" wrapText="1"/>
    </xf>
    <xf numFmtId="0" fontId="236" fillId="0" borderId="0" xfId="0" applyFont="1" applyBorder="1" applyAlignment="1"/>
    <xf numFmtId="0" fontId="225" fillId="0" borderId="0" xfId="0" applyFont="1" applyBorder="1" applyAlignment="1">
      <alignment horizontal="left" vertical="center" wrapText="1"/>
    </xf>
    <xf numFmtId="0" fontId="236" fillId="0" borderId="0" xfId="0" applyFont="1" applyBorder="1"/>
    <xf numFmtId="0" fontId="236" fillId="0" borderId="0" xfId="0" applyFont="1" applyBorder="1" applyAlignment="1">
      <alignment vertical="center" wrapText="1"/>
    </xf>
    <xf numFmtId="0" fontId="236" fillId="0" borderId="0" xfId="0" applyFont="1" applyBorder="1" applyAlignment="1">
      <alignment vertical="center"/>
    </xf>
    <xf numFmtId="0" fontId="237" fillId="0" borderId="0" xfId="0" applyFont="1" applyBorder="1" applyAlignment="1">
      <alignment vertical="center" wrapText="1"/>
    </xf>
    <xf numFmtId="0" fontId="237" fillId="0" borderId="0" xfId="0" applyFont="1" applyBorder="1" applyAlignment="1">
      <alignment vertical="center"/>
    </xf>
    <xf numFmtId="0" fontId="225" fillId="0" borderId="0" xfId="0" applyFont="1" applyBorder="1" applyAlignment="1">
      <alignment horizontal="center" vertical="center"/>
    </xf>
    <xf numFmtId="0" fontId="225" fillId="0" borderId="0" xfId="0" applyFont="1" applyFill="1" applyBorder="1" applyAlignment="1">
      <alignment vertical="center" wrapText="1"/>
    </xf>
    <xf numFmtId="0" fontId="224" fillId="0" borderId="0" xfId="0" applyFont="1" applyFill="1" applyBorder="1" applyAlignment="1">
      <alignment horizontal="right" vertical="center" wrapText="1"/>
    </xf>
    <xf numFmtId="0" fontId="52" fillId="0" borderId="0" xfId="0" applyFont="1" applyAlignment="1">
      <alignment vertical="center"/>
    </xf>
    <xf numFmtId="0" fontId="224" fillId="0" borderId="0" xfId="0" applyFont="1" applyBorder="1" applyAlignment="1">
      <alignment vertical="center" wrapText="1"/>
    </xf>
    <xf numFmtId="0" fontId="2" fillId="0" borderId="0" xfId="0" applyFont="1" applyAlignment="1">
      <alignment vertical="center"/>
    </xf>
    <xf numFmtId="0" fontId="6" fillId="0" borderId="10" xfId="277" applyFont="1" applyBorder="1" applyAlignment="1">
      <alignment horizontal="center" vertical="center" wrapText="1"/>
    </xf>
    <xf numFmtId="9" fontId="68" fillId="0" borderId="10" xfId="384" applyNumberFormat="1" applyFont="1" applyFill="1" applyBorder="1" applyAlignment="1">
      <alignment horizontal="center" vertical="center"/>
    </xf>
    <xf numFmtId="9" fontId="68" fillId="0" borderId="12" xfId="384" applyNumberFormat="1" applyFont="1" applyFill="1" applyBorder="1" applyAlignment="1">
      <alignment horizontal="center" vertical="center"/>
    </xf>
    <xf numFmtId="9" fontId="68" fillId="0" borderId="0" xfId="384" applyNumberFormat="1" applyFont="1" applyFill="1" applyBorder="1" applyAlignment="1">
      <alignment vertical="center"/>
    </xf>
    <xf numFmtId="9" fontId="68" fillId="0" borderId="0" xfId="384" applyNumberFormat="1" applyFont="1" applyFill="1" applyBorder="1" applyAlignment="1">
      <alignment horizontal="center" vertical="center"/>
    </xf>
    <xf numFmtId="0" fontId="72" fillId="0" borderId="0" xfId="384" applyFont="1" applyFill="1" applyBorder="1" applyAlignment="1">
      <alignment horizontal="center" vertical="center" wrapText="1"/>
    </xf>
    <xf numFmtId="0" fontId="68" fillId="0" borderId="0" xfId="384" applyFont="1" applyFill="1" applyBorder="1" applyAlignment="1">
      <alignment horizontal="center" vertical="center"/>
    </xf>
    <xf numFmtId="3" fontId="6" fillId="0" borderId="10" xfId="2" applyNumberFormat="1" applyFont="1" applyFill="1" applyBorder="1" applyAlignment="1">
      <alignment horizontal="center" vertical="center"/>
    </xf>
    <xf numFmtId="3" fontId="6" fillId="0" borderId="46" xfId="369" applyNumberFormat="1" applyFont="1" applyFill="1" applyBorder="1" applyAlignment="1">
      <alignment horizontal="center" vertical="center" wrapText="1"/>
    </xf>
    <xf numFmtId="0" fontId="169" fillId="0" borderId="0" xfId="0" applyFont="1" applyAlignment="1">
      <alignment vertical="top"/>
    </xf>
    <xf numFmtId="0" fontId="9" fillId="4" borderId="10" xfId="1" applyFont="1" applyFill="1" applyBorder="1" applyAlignment="1">
      <alignment horizontal="center" vertical="center" wrapText="1"/>
    </xf>
    <xf numFmtId="9" fontId="10" fillId="0" borderId="10" xfId="4" applyFont="1" applyBorder="1" applyAlignment="1">
      <alignment horizontal="center" vertical="center"/>
    </xf>
    <xf numFmtId="0" fontId="12" fillId="2" borderId="10" xfId="1" applyFont="1" applyFill="1" applyBorder="1" applyAlignment="1">
      <alignment horizontal="center" vertical="center" wrapText="1"/>
    </xf>
    <xf numFmtId="0" fontId="70" fillId="0" borderId="10" xfId="366" applyFont="1" applyFill="1" applyBorder="1" applyAlignment="1">
      <alignment horizontal="center" vertical="center"/>
    </xf>
    <xf numFmtId="0" fontId="47" fillId="0" borderId="46" xfId="2" applyFont="1" applyFill="1" applyBorder="1" applyAlignment="1">
      <alignment horizontal="center" vertical="center"/>
    </xf>
    <xf numFmtId="0" fontId="47" fillId="0" borderId="48" xfId="2" applyFont="1" applyFill="1" applyBorder="1" applyAlignment="1">
      <alignment horizontal="center" vertical="center"/>
    </xf>
    <xf numFmtId="3" fontId="127" fillId="0" borderId="46" xfId="2" applyNumberFormat="1" applyFont="1" applyFill="1" applyBorder="1" applyAlignment="1">
      <alignment horizontal="center" vertical="center"/>
    </xf>
    <xf numFmtId="0" fontId="57" fillId="0" borderId="10" xfId="384" applyFont="1" applyFill="1" applyBorder="1" applyAlignment="1">
      <alignment horizontal="center" vertical="center"/>
    </xf>
    <xf numFmtId="0" fontId="6" fillId="0" borderId="10" xfId="277" applyFont="1" applyFill="1" applyBorder="1" applyAlignment="1">
      <alignment horizontal="center" vertical="center"/>
    </xf>
    <xf numFmtId="0" fontId="52" fillId="0" borderId="10" xfId="0" applyFont="1" applyFill="1" applyBorder="1" applyAlignment="1">
      <alignment horizontal="center" vertical="center"/>
    </xf>
    <xf numFmtId="0" fontId="40" fillId="0" borderId="10" xfId="1" applyFont="1" applyFill="1" applyBorder="1" applyAlignment="1">
      <alignment horizontal="center" vertical="center"/>
    </xf>
    <xf numFmtId="0" fontId="48" fillId="0" borderId="0" xfId="364" applyFont="1" applyFill="1" applyBorder="1" applyAlignment="1">
      <alignment horizontal="center" vertical="center"/>
    </xf>
    <xf numFmtId="0" fontId="80" fillId="0" borderId="0" xfId="0" applyFont="1"/>
    <xf numFmtId="0" fontId="169" fillId="0" borderId="0" xfId="0" applyFont="1" applyAlignment="1"/>
    <xf numFmtId="0" fontId="144" fillId="0" borderId="2" xfId="298" applyFont="1" applyBorder="1" applyAlignment="1">
      <alignment horizontal="center" vertical="center"/>
    </xf>
    <xf numFmtId="0" fontId="8" fillId="0" borderId="10" xfId="298" applyFont="1" applyBorder="1" applyAlignment="1" applyProtection="1">
      <alignment horizontal="center" vertical="center"/>
      <protection hidden="1"/>
    </xf>
    <xf numFmtId="0" fontId="8" fillId="0" borderId="10" xfId="294" applyFont="1" applyBorder="1" applyAlignment="1" applyProtection="1">
      <alignment horizontal="center" vertical="center" wrapText="1"/>
      <protection hidden="1"/>
    </xf>
    <xf numFmtId="0" fontId="3" fillId="2" borderId="10" xfId="271" applyFont="1" applyFill="1" applyBorder="1" applyAlignment="1" applyProtection="1">
      <alignment horizontal="center" vertical="center" wrapText="1"/>
      <protection hidden="1"/>
    </xf>
    <xf numFmtId="0" fontId="3" fillId="2" borderId="10" xfId="271" applyNumberFormat="1" applyFont="1" applyFill="1" applyBorder="1" applyAlignment="1" applyProtection="1">
      <alignment horizontal="center" vertical="center" wrapText="1"/>
      <protection hidden="1"/>
    </xf>
    <xf numFmtId="3" fontId="3" fillId="2" borderId="10" xfId="271" applyNumberFormat="1" applyFont="1" applyFill="1" applyBorder="1" applyAlignment="1" applyProtection="1">
      <alignment horizontal="center" vertical="center" wrapText="1"/>
      <protection hidden="1"/>
    </xf>
    <xf numFmtId="2" fontId="3" fillId="0" borderId="34" xfId="271" applyNumberFormat="1" applyFont="1" applyBorder="1" applyAlignment="1" applyProtection="1">
      <alignment horizontal="center" vertical="center"/>
      <protection hidden="1"/>
    </xf>
    <xf numFmtId="0" fontId="3" fillId="0" borderId="34" xfId="271" applyFont="1" applyBorder="1" applyAlignment="1" applyProtection="1">
      <alignment horizontal="center" vertical="center" wrapText="1"/>
      <protection hidden="1"/>
    </xf>
    <xf numFmtId="2" fontId="3" fillId="0" borderId="29" xfId="271" applyNumberFormat="1" applyFont="1" applyBorder="1" applyAlignment="1" applyProtection="1">
      <alignment horizontal="center" vertical="center"/>
      <protection hidden="1"/>
    </xf>
    <xf numFmtId="0" fontId="3" fillId="0" borderId="29" xfId="271" applyFont="1" applyBorder="1" applyAlignment="1" applyProtection="1">
      <alignment horizontal="center" vertical="center" wrapText="1"/>
      <protection hidden="1"/>
    </xf>
    <xf numFmtId="2" fontId="3" fillId="0" borderId="30" xfId="271" applyNumberFormat="1" applyFont="1" applyBorder="1" applyAlignment="1" applyProtection="1">
      <alignment horizontal="center" vertical="center"/>
      <protection hidden="1"/>
    </xf>
    <xf numFmtId="0" fontId="3" fillId="0" borderId="30" xfId="271" applyFont="1" applyBorder="1" applyAlignment="1" applyProtection="1">
      <alignment horizontal="center" vertical="center" wrapText="1"/>
      <protection hidden="1"/>
    </xf>
    <xf numFmtId="2" fontId="3" fillId="0" borderId="13" xfId="271" applyNumberFormat="1" applyFont="1" applyBorder="1" applyAlignment="1" applyProtection="1">
      <alignment horizontal="center" vertical="center"/>
      <protection hidden="1"/>
    </xf>
    <xf numFmtId="0" fontId="3" fillId="0" borderId="13" xfId="271" applyFont="1" applyBorder="1" applyAlignment="1" applyProtection="1">
      <alignment horizontal="center" vertical="center" wrapText="1"/>
      <protection hidden="1"/>
    </xf>
    <xf numFmtId="0" fontId="63" fillId="0" borderId="10" xfId="271" applyFont="1" applyBorder="1"/>
    <xf numFmtId="0" fontId="63" fillId="0" borderId="10" xfId="271" applyFont="1" applyBorder="1" applyAlignment="1">
      <alignment horizontal="center" vertical="center"/>
    </xf>
    <xf numFmtId="0" fontId="144" fillId="0" borderId="52" xfId="378" applyNumberFormat="1" applyFont="1" applyFill="1" applyBorder="1" applyAlignment="1">
      <alignment horizontal="center" vertical="center" wrapText="1"/>
    </xf>
    <xf numFmtId="0" fontId="144" fillId="0" borderId="46" xfId="378" applyFont="1" applyFill="1" applyBorder="1" applyAlignment="1">
      <alignment horizontal="center" vertical="center" wrapText="1"/>
    </xf>
    <xf numFmtId="0" fontId="144" fillId="0" borderId="10" xfId="378" applyNumberFormat="1" applyFont="1" applyFill="1" applyBorder="1" applyAlignment="1">
      <alignment horizontal="center" vertical="center" wrapText="1"/>
    </xf>
    <xf numFmtId="0" fontId="144" fillId="0" borderId="46" xfId="378" applyNumberFormat="1" applyFont="1" applyFill="1" applyBorder="1" applyAlignment="1">
      <alignment horizontal="center" vertical="center" wrapText="1"/>
    </xf>
    <xf numFmtId="0" fontId="144" fillId="0" borderId="7" xfId="378" applyNumberFormat="1" applyFont="1" applyFill="1" applyBorder="1" applyAlignment="1">
      <alignment horizontal="center" vertical="center" wrapText="1"/>
    </xf>
    <xf numFmtId="0" fontId="144" fillId="0" borderId="10" xfId="378" applyFont="1" applyFill="1" applyBorder="1" applyAlignment="1">
      <alignment horizontal="center" vertical="center"/>
    </xf>
    <xf numFmtId="14" fontId="113" fillId="0" borderId="0" xfId="271" applyNumberFormat="1" applyFont="1" applyBorder="1" applyAlignment="1">
      <alignment horizontal="left"/>
    </xf>
    <xf numFmtId="14" fontId="113" fillId="0" borderId="0" xfId="271" applyNumberFormat="1" applyFont="1" applyBorder="1" applyAlignment="1"/>
    <xf numFmtId="0" fontId="127" fillId="0" borderId="0" xfId="365" applyFont="1" applyAlignment="1">
      <alignment horizontal="left" vertical="center"/>
    </xf>
    <xf numFmtId="0" fontId="127" fillId="0" borderId="0" xfId="365" applyFont="1" applyAlignment="1">
      <alignment vertical="center" wrapText="1"/>
    </xf>
    <xf numFmtId="0" fontId="3" fillId="0" borderId="9" xfId="271" applyFont="1" applyBorder="1" applyAlignment="1" applyProtection="1">
      <alignment horizontal="center" vertical="center" wrapText="1"/>
      <protection hidden="1"/>
    </xf>
    <xf numFmtId="0" fontId="10" fillId="0" borderId="7" xfId="271" applyNumberFormat="1" applyFont="1" applyBorder="1" applyAlignment="1" applyProtection="1">
      <alignment horizontal="center" vertical="center" wrapText="1"/>
      <protection hidden="1"/>
    </xf>
    <xf numFmtId="2" fontId="10" fillId="0" borderId="10" xfId="271" applyNumberFormat="1" applyFont="1" applyBorder="1" applyAlignment="1" applyProtection="1">
      <alignment horizontal="center" vertical="center" wrapText="1"/>
      <protection hidden="1"/>
    </xf>
    <xf numFmtId="0" fontId="127" fillId="0" borderId="3" xfId="2" applyFont="1" applyFill="1" applyBorder="1" applyAlignment="1">
      <alignment vertical="center" wrapText="1"/>
    </xf>
    <xf numFmtId="0" fontId="46" fillId="0" borderId="0" xfId="1" applyFont="1" applyAlignment="1">
      <alignment vertical="center" wrapText="1"/>
    </xf>
    <xf numFmtId="4" fontId="6" fillId="0" borderId="10" xfId="2" applyNumberFormat="1" applyFont="1" applyFill="1" applyBorder="1" applyAlignment="1">
      <alignment horizontal="center" vertical="center" wrapText="1"/>
    </xf>
    <xf numFmtId="3" fontId="127" fillId="0" borderId="9" xfId="365" applyNumberFormat="1" applyFont="1" applyFill="1" applyBorder="1" applyAlignment="1">
      <alignment horizontal="center" vertical="center" wrapText="1"/>
    </xf>
    <xf numFmtId="3" fontId="127" fillId="0" borderId="10" xfId="365" applyNumberFormat="1" applyFont="1" applyFill="1" applyBorder="1" applyAlignment="1">
      <alignment horizontal="center" vertical="center" wrapText="1"/>
    </xf>
    <xf numFmtId="172" fontId="44" fillId="0" borderId="34" xfId="0" applyNumberFormat="1" applyFont="1" applyBorder="1" applyAlignment="1" applyProtection="1">
      <alignment horizontal="center" vertical="center"/>
      <protection hidden="1"/>
    </xf>
    <xf numFmtId="0" fontId="44" fillId="0" borderId="3" xfId="0" applyFont="1" applyBorder="1" applyAlignment="1" applyProtection="1">
      <alignment horizontal="center" vertical="center" wrapText="1"/>
      <protection hidden="1"/>
    </xf>
    <xf numFmtId="0" fontId="44" fillId="0" borderId="34" xfId="0" applyFont="1" applyBorder="1" applyAlignment="1" applyProtection="1">
      <alignment horizontal="center" vertical="center"/>
      <protection hidden="1"/>
    </xf>
    <xf numFmtId="1" fontId="44" fillId="0" borderId="34" xfId="0" applyNumberFormat="1" applyFont="1" applyBorder="1" applyAlignment="1" applyProtection="1">
      <alignment horizontal="center" vertical="center"/>
      <protection hidden="1"/>
    </xf>
    <xf numFmtId="3" fontId="44" fillId="0" borderId="34" xfId="0" applyNumberFormat="1" applyFont="1" applyBorder="1" applyAlignment="1" applyProtection="1">
      <alignment horizontal="center" vertical="center" wrapText="1"/>
      <protection hidden="1"/>
    </xf>
    <xf numFmtId="172" fontId="44" fillId="0" borderId="30" xfId="0" applyNumberFormat="1" applyFont="1" applyBorder="1" applyAlignment="1" applyProtection="1">
      <alignment horizontal="center" vertical="center"/>
      <protection hidden="1"/>
    </xf>
    <xf numFmtId="0" fontId="44" fillId="0" borderId="30" xfId="0" applyFont="1" applyBorder="1" applyAlignment="1" applyProtection="1">
      <alignment horizontal="center" vertical="center" wrapText="1"/>
      <protection hidden="1"/>
    </xf>
    <xf numFmtId="0" fontId="44" fillId="0" borderId="30" xfId="0" applyFont="1" applyBorder="1" applyAlignment="1" applyProtection="1">
      <alignment horizontal="center" vertical="center"/>
      <protection hidden="1"/>
    </xf>
    <xf numFmtId="1" fontId="44" fillId="0" borderId="30" xfId="0" applyNumberFormat="1" applyFont="1" applyBorder="1" applyAlignment="1" applyProtection="1">
      <alignment horizontal="center" vertical="center"/>
      <protection hidden="1"/>
    </xf>
    <xf numFmtId="3" fontId="44" fillId="0" borderId="30" xfId="0" applyNumberFormat="1" applyFont="1" applyBorder="1" applyAlignment="1" applyProtection="1">
      <alignment horizontal="center" vertical="center" wrapText="1"/>
      <protection hidden="1"/>
    </xf>
    <xf numFmtId="172" fontId="44" fillId="0" borderId="13" xfId="0" applyNumberFormat="1" applyFont="1" applyBorder="1" applyAlignment="1" applyProtection="1">
      <alignment horizontal="center" vertical="center"/>
      <protection hidden="1"/>
    </xf>
    <xf numFmtId="0" fontId="44" fillId="0" borderId="29" xfId="0" applyFont="1" applyBorder="1" applyAlignment="1" applyProtection="1">
      <alignment horizontal="center" vertical="center" wrapText="1"/>
      <protection hidden="1"/>
    </xf>
    <xf numFmtId="0" fontId="44" fillId="0" borderId="13" xfId="0" applyFont="1" applyBorder="1" applyAlignment="1" applyProtection="1">
      <alignment horizontal="center" vertical="center"/>
      <protection hidden="1"/>
    </xf>
    <xf numFmtId="1" fontId="44" fillId="0" borderId="13" xfId="0" applyNumberFormat="1" applyFont="1" applyBorder="1" applyAlignment="1" applyProtection="1">
      <alignment horizontal="center" vertical="center"/>
      <protection hidden="1"/>
    </xf>
    <xf numFmtId="3" fontId="44" fillId="0" borderId="13" xfId="0" applyNumberFormat="1" applyFont="1" applyBorder="1" applyAlignment="1" applyProtection="1">
      <alignment horizontal="center" vertical="center" wrapText="1"/>
      <protection hidden="1"/>
    </xf>
    <xf numFmtId="3" fontId="88" fillId="0" borderId="34" xfId="0" applyNumberFormat="1" applyFont="1" applyFill="1" applyBorder="1" applyAlignment="1" applyProtection="1">
      <alignment horizontal="center" vertical="center"/>
      <protection hidden="1"/>
    </xf>
    <xf numFmtId="0" fontId="8" fillId="0" borderId="10" xfId="298" applyFont="1" applyFill="1" applyBorder="1" applyAlignment="1" applyProtection="1">
      <alignment horizontal="center" vertical="center" wrapText="1"/>
      <protection hidden="1"/>
    </xf>
    <xf numFmtId="9" fontId="126" fillId="0" borderId="2" xfId="1" applyNumberFormat="1" applyFont="1" applyFill="1" applyBorder="1" applyAlignment="1">
      <alignment horizontal="center" vertical="center"/>
    </xf>
    <xf numFmtId="9" fontId="126" fillId="0" borderId="2" xfId="1" applyNumberFormat="1" applyFont="1" applyBorder="1" applyAlignment="1">
      <alignment horizontal="center" vertical="center"/>
    </xf>
    <xf numFmtId="0" fontId="181" fillId="4" borderId="10" xfId="1" applyFont="1" applyFill="1" applyBorder="1" applyAlignment="1">
      <alignment horizontal="center" vertical="center" wrapText="1"/>
    </xf>
    <xf numFmtId="0" fontId="181" fillId="4" borderId="2" xfId="1" applyFont="1" applyFill="1" applyBorder="1" applyAlignment="1">
      <alignment horizontal="center" vertical="center" wrapText="1"/>
    </xf>
    <xf numFmtId="1" fontId="174" fillId="0" borderId="2" xfId="271" applyNumberFormat="1" applyFont="1" applyFill="1" applyBorder="1" applyAlignment="1">
      <alignment horizontal="center" vertical="center"/>
    </xf>
    <xf numFmtId="0" fontId="173" fillId="0" borderId="3" xfId="271" applyFont="1" applyBorder="1" applyAlignment="1">
      <alignment horizontal="center" vertical="center"/>
    </xf>
    <xf numFmtId="0" fontId="173" fillId="0" borderId="9" xfId="271" applyFont="1" applyBorder="1" applyAlignment="1">
      <alignment horizontal="center" vertical="center"/>
    </xf>
    <xf numFmtId="0" fontId="173" fillId="0" borderId="10" xfId="271" applyFont="1" applyFill="1" applyBorder="1" applyAlignment="1">
      <alignment horizontal="center" vertical="center"/>
    </xf>
    <xf numFmtId="0" fontId="173" fillId="0" borderId="10" xfId="271" applyFont="1" applyBorder="1" applyAlignment="1">
      <alignment horizontal="center" vertical="center"/>
    </xf>
    <xf numFmtId="1" fontId="175" fillId="0" borderId="10" xfId="271" applyNumberFormat="1" applyFont="1" applyFill="1" applyBorder="1" applyAlignment="1">
      <alignment horizontal="center" vertical="center" wrapText="1"/>
    </xf>
    <xf numFmtId="0" fontId="12" fillId="0" borderId="10" xfId="298" applyFont="1" applyFill="1" applyBorder="1" applyAlignment="1" applyProtection="1">
      <alignment horizontal="center" vertical="center" wrapText="1"/>
      <protection hidden="1"/>
    </xf>
    <xf numFmtId="3" fontId="10" fillId="0" borderId="0" xfId="298" applyNumberFormat="1" applyFont="1" applyFill="1" applyBorder="1" applyAlignment="1" applyProtection="1">
      <alignment vertical="center" wrapText="1"/>
      <protection hidden="1"/>
    </xf>
    <xf numFmtId="3" fontId="10" fillId="0" borderId="6" xfId="298" applyNumberFormat="1" applyFont="1" applyFill="1" applyBorder="1" applyAlignment="1" applyProtection="1">
      <alignment vertical="center" wrapText="1"/>
      <protection hidden="1"/>
    </xf>
    <xf numFmtId="0" fontId="12" fillId="0" borderId="0" xfId="0" applyFont="1" applyAlignment="1">
      <alignment vertical="center"/>
    </xf>
    <xf numFmtId="1" fontId="10" fillId="0" borderId="10" xfId="271" applyNumberFormat="1" applyFont="1" applyFill="1" applyBorder="1" applyAlignment="1">
      <alignment horizontal="center" vertical="center"/>
    </xf>
    <xf numFmtId="1" fontId="10" fillId="0" borderId="10" xfId="271" applyNumberFormat="1" applyFont="1" applyBorder="1" applyAlignment="1">
      <alignment horizontal="center" vertical="center"/>
    </xf>
    <xf numFmtId="0" fontId="9" fillId="2" borderId="10" xfId="271" applyFont="1" applyFill="1" applyBorder="1" applyAlignment="1">
      <alignment horizontal="center" vertical="center" wrapText="1"/>
    </xf>
    <xf numFmtId="0" fontId="10" fillId="0" borderId="10" xfId="271" applyFont="1" applyFill="1" applyBorder="1" applyAlignment="1">
      <alignment horizontal="center" vertical="center" wrapText="1"/>
    </xf>
    <xf numFmtId="0" fontId="7" fillId="2" borderId="10" xfId="372" applyFont="1" applyFill="1" applyBorder="1" applyAlignment="1">
      <alignment horizontal="center" vertical="center"/>
    </xf>
    <xf numFmtId="1" fontId="7" fillId="2" borderId="2" xfId="372" applyNumberFormat="1" applyFont="1" applyFill="1" applyBorder="1" applyAlignment="1">
      <alignment horizontal="center" vertical="center"/>
    </xf>
    <xf numFmtId="1" fontId="3" fillId="0" borderId="10" xfId="372" applyNumberFormat="1" applyFont="1" applyBorder="1" applyAlignment="1">
      <alignment vertical="center"/>
    </xf>
    <xf numFmtId="1" fontId="3" fillId="0" borderId="10" xfId="372" applyNumberFormat="1" applyFont="1" applyFill="1" applyBorder="1" applyAlignment="1">
      <alignment horizontal="center" vertical="center"/>
    </xf>
    <xf numFmtId="1" fontId="3" fillId="0" borderId="2" xfId="372" applyNumberFormat="1" applyFont="1" applyFill="1" applyBorder="1" applyAlignment="1">
      <alignment horizontal="center" vertical="center"/>
    </xf>
    <xf numFmtId="1" fontId="3" fillId="0" borderId="10" xfId="370" applyNumberFormat="1" applyFont="1" applyFill="1" applyBorder="1" applyAlignment="1">
      <alignment horizontal="center" vertical="center"/>
    </xf>
    <xf numFmtId="0" fontId="181" fillId="4" borderId="10" xfId="271" applyFont="1" applyFill="1" applyBorder="1" applyAlignment="1">
      <alignment horizontal="center" vertical="center"/>
    </xf>
    <xf numFmtId="0" fontId="217" fillId="0" borderId="0" xfId="0" applyFont="1"/>
    <xf numFmtId="0" fontId="244" fillId="0" borderId="0" xfId="243" applyNumberFormat="1" applyFont="1" applyFill="1" applyBorder="1" applyAlignment="1" applyProtection="1"/>
    <xf numFmtId="0" fontId="61" fillId="0" borderId="0" xfId="0" applyFont="1" applyAlignment="1">
      <alignment horizontal="left"/>
    </xf>
    <xf numFmtId="0" fontId="245" fillId="0" borderId="0" xfId="0" applyFont="1" applyAlignment="1">
      <alignment horizontal="right"/>
    </xf>
    <xf numFmtId="0" fontId="67" fillId="0" borderId="0" xfId="0" applyFont="1" applyAlignment="1">
      <alignment horizontal="left"/>
    </xf>
    <xf numFmtId="0" fontId="61" fillId="0" borderId="0" xfId="0" applyFont="1" applyFill="1"/>
    <xf numFmtId="0" fontId="245" fillId="0" borderId="0" xfId="0" applyFont="1"/>
    <xf numFmtId="0" fontId="67" fillId="0" borderId="0" xfId="0" applyFont="1"/>
    <xf numFmtId="0" fontId="246" fillId="0" borderId="0" xfId="243" applyNumberFormat="1" applyFont="1" applyFill="1" applyBorder="1" applyAlignment="1" applyProtection="1">
      <alignment horizontal="left"/>
    </xf>
    <xf numFmtId="0" fontId="247" fillId="0" borderId="0" xfId="0" applyFont="1" applyAlignment="1">
      <alignment horizontal="left"/>
    </xf>
    <xf numFmtId="0" fontId="52" fillId="42" borderId="10" xfId="0" applyFont="1" applyFill="1" applyBorder="1" applyAlignment="1">
      <alignment horizontal="center" vertical="center"/>
    </xf>
    <xf numFmtId="0" fontId="52" fillId="42" borderId="10" xfId="0" applyFont="1" applyFill="1" applyBorder="1" applyAlignment="1">
      <alignment horizontal="center" vertical="center" wrapText="1"/>
    </xf>
    <xf numFmtId="0" fontId="249" fillId="0" borderId="10" xfId="0" applyFont="1" applyBorder="1" applyAlignment="1">
      <alignment horizontal="center" vertical="center" wrapText="1"/>
    </xf>
    <xf numFmtId="0" fontId="245" fillId="0" borderId="10" xfId="0" applyFont="1" applyBorder="1" applyAlignment="1">
      <alignment horizontal="center" vertical="center"/>
    </xf>
    <xf numFmtId="0" fontId="244" fillId="0" borderId="3" xfId="0" applyFont="1" applyBorder="1" applyAlignment="1"/>
    <xf numFmtId="0" fontId="67" fillId="0" borderId="3" xfId="0" applyFont="1" applyBorder="1" applyAlignment="1">
      <alignment horizontal="center" vertical="center" wrapText="1"/>
    </xf>
    <xf numFmtId="0" fontId="229" fillId="0" borderId="3" xfId="0" applyFont="1" applyBorder="1" applyAlignment="1">
      <alignment horizontal="center" vertical="center" wrapText="1"/>
    </xf>
    <xf numFmtId="0" fontId="244" fillId="0" borderId="10" xfId="0" applyFont="1" applyBorder="1"/>
    <xf numFmtId="0" fontId="244" fillId="0" borderId="10" xfId="0" applyFont="1" applyBorder="1" applyAlignment="1">
      <alignment horizontal="center"/>
    </xf>
    <xf numFmtId="0" fontId="229" fillId="0" borderId="10" xfId="0" applyFont="1" applyBorder="1" applyAlignment="1">
      <alignment horizontal="center" vertical="center" wrapText="1"/>
    </xf>
    <xf numFmtId="0" fontId="249" fillId="0" borderId="3" xfId="0" applyFont="1" applyBorder="1" applyAlignment="1">
      <alignment horizontal="center" vertical="center" wrapText="1"/>
    </xf>
    <xf numFmtId="0" fontId="244" fillId="0" borderId="10" xfId="0" applyFont="1" applyBorder="1" applyAlignment="1"/>
    <xf numFmtId="0" fontId="229" fillId="0" borderId="10" xfId="0" applyFont="1" applyBorder="1" applyAlignment="1">
      <alignment horizontal="left" vertical="center" wrapText="1"/>
    </xf>
    <xf numFmtId="0" fontId="67" fillId="0" borderId="10" xfId="0" applyFont="1" applyBorder="1" applyAlignment="1">
      <alignment horizontal="center" vertical="center" wrapText="1"/>
    </xf>
    <xf numFmtId="0" fontId="67" fillId="0" borderId="0" xfId="0" applyFont="1" applyAlignment="1">
      <alignment vertical="center"/>
    </xf>
    <xf numFmtId="0" fontId="67" fillId="0" borderId="0" xfId="0" applyFont="1" applyFill="1" applyAlignment="1">
      <alignment horizontal="right"/>
    </xf>
    <xf numFmtId="0" fontId="47" fillId="0" borderId="0" xfId="299" applyFont="1" applyFill="1" applyAlignment="1" applyProtection="1">
      <alignment horizontal="right"/>
      <protection locked="0"/>
    </xf>
    <xf numFmtId="1" fontId="3" fillId="0" borderId="0" xfId="381" applyNumberFormat="1" applyFont="1" applyFill="1" applyBorder="1" applyAlignment="1">
      <alignment vertical="center"/>
    </xf>
    <xf numFmtId="0" fontId="7" fillId="2" borderId="3" xfId="372" applyFont="1" applyFill="1" applyBorder="1" applyAlignment="1">
      <alignment vertical="center"/>
    </xf>
    <xf numFmtId="2" fontId="7" fillId="2" borderId="10" xfId="372" applyNumberFormat="1" applyFont="1" applyFill="1" applyBorder="1" applyAlignment="1">
      <alignment horizontal="center" vertical="center"/>
    </xf>
    <xf numFmtId="1" fontId="3" fillId="0" borderId="9" xfId="372" applyNumberFormat="1" applyFont="1" applyFill="1" applyBorder="1" applyAlignment="1">
      <alignment vertical="center"/>
    </xf>
    <xf numFmtId="1" fontId="3" fillId="0" borderId="10" xfId="372" applyNumberFormat="1" applyFont="1" applyBorder="1" applyAlignment="1">
      <alignment horizontal="left" vertical="center" wrapText="1"/>
    </xf>
    <xf numFmtId="1" fontId="3" fillId="0" borderId="2" xfId="372" applyNumberFormat="1" applyFont="1" applyFill="1" applyBorder="1" applyAlignment="1">
      <alignment horizontal="left" vertical="center"/>
    </xf>
    <xf numFmtId="1" fontId="3" fillId="0" borderId="10" xfId="372" applyNumberFormat="1" applyFont="1" applyBorder="1" applyAlignment="1">
      <alignment horizontal="center" vertical="center"/>
    </xf>
    <xf numFmtId="1" fontId="3" fillId="2" borderId="9" xfId="372" applyNumberFormat="1" applyFont="1" applyFill="1" applyBorder="1" applyAlignment="1">
      <alignment horizontal="center" vertical="center"/>
    </xf>
    <xf numFmtId="1" fontId="3" fillId="2" borderId="15" xfId="372" applyNumberFormat="1" applyFont="1" applyFill="1" applyBorder="1" applyAlignment="1">
      <alignment horizontal="center" vertical="center"/>
    </xf>
    <xf numFmtId="1" fontId="3" fillId="0" borderId="0" xfId="372" applyNumberFormat="1" applyFont="1" applyFill="1" applyBorder="1" applyAlignment="1">
      <alignment horizontal="left" vertical="center"/>
    </xf>
    <xf numFmtId="1" fontId="3" fillId="0" borderId="0" xfId="372" applyNumberFormat="1" applyFont="1" applyFill="1" applyBorder="1" applyAlignment="1">
      <alignment horizontal="center" vertical="center"/>
    </xf>
    <xf numFmtId="1" fontId="3" fillId="0" borderId="0" xfId="372" applyNumberFormat="1" applyFont="1" applyBorder="1" applyAlignment="1">
      <alignment horizontal="center" vertical="center"/>
    </xf>
    <xf numFmtId="0" fontId="152" fillId="0" borderId="0" xfId="380" applyFont="1" applyFill="1" applyBorder="1" applyAlignment="1">
      <alignment vertical="center" wrapText="1"/>
    </xf>
    <xf numFmtId="9" fontId="153" fillId="0" borderId="0" xfId="380" applyNumberFormat="1" applyFont="1" applyFill="1" applyBorder="1" applyAlignment="1">
      <alignment vertical="center"/>
    </xf>
    <xf numFmtId="1" fontId="3" fillId="0" borderId="3" xfId="372" applyNumberFormat="1" applyFont="1" applyFill="1" applyBorder="1" applyAlignment="1">
      <alignment horizontal="left" vertical="center"/>
    </xf>
    <xf numFmtId="0" fontId="3" fillId="0" borderId="12" xfId="372" applyFont="1" applyBorder="1" applyAlignment="1">
      <alignment horizontal="left" vertical="center" wrapText="1"/>
    </xf>
    <xf numFmtId="0" fontId="3" fillId="0" borderId="12" xfId="380" applyFont="1" applyBorder="1" applyAlignment="1">
      <alignment vertical="center"/>
    </xf>
    <xf numFmtId="14" fontId="3" fillId="0" borderId="0" xfId="381" applyNumberFormat="1" applyFont="1" applyFill="1" applyBorder="1" applyAlignment="1">
      <alignment horizontal="center" vertical="center"/>
    </xf>
    <xf numFmtId="0" fontId="75" fillId="0" borderId="0" xfId="374" applyFont="1" applyBorder="1" applyAlignment="1" applyProtection="1">
      <alignment horizontal="center"/>
      <protection hidden="1"/>
    </xf>
    <xf numFmtId="1" fontId="3" fillId="0" borderId="0" xfId="370" applyNumberFormat="1" applyFont="1" applyFill="1" applyBorder="1" applyAlignment="1">
      <alignment horizontal="center" vertical="center"/>
    </xf>
    <xf numFmtId="0" fontId="3" fillId="0" borderId="0" xfId="380" applyFont="1" applyFill="1" applyBorder="1" applyAlignment="1">
      <alignment horizontal="center" vertical="center"/>
    </xf>
    <xf numFmtId="0" fontId="3" fillId="0" borderId="0" xfId="380" applyFont="1" applyAlignment="1">
      <alignment vertical="center" wrapText="1"/>
    </xf>
    <xf numFmtId="0" fontId="3" fillId="0" borderId="0" xfId="372" applyFont="1" applyBorder="1" applyAlignment="1">
      <alignment horizontal="left" vertical="center"/>
    </xf>
    <xf numFmtId="0" fontId="150" fillId="0" borderId="0" xfId="372" applyFont="1" applyBorder="1" applyAlignment="1">
      <alignment horizontal="left" vertical="center"/>
    </xf>
    <xf numFmtId="0" fontId="10" fillId="0" borderId="10" xfId="271" applyFont="1" applyFill="1" applyBorder="1" applyAlignment="1">
      <alignment vertical="center" wrapText="1"/>
    </xf>
    <xf numFmtId="0" fontId="10" fillId="0" borderId="10" xfId="271" applyFont="1" applyFill="1" applyBorder="1" applyAlignment="1">
      <alignment vertical="center"/>
    </xf>
    <xf numFmtId="1" fontId="242" fillId="0" borderId="3" xfId="271" applyNumberFormat="1" applyFont="1" applyFill="1" applyBorder="1" applyAlignment="1" applyProtection="1">
      <alignment horizontal="center" vertical="center"/>
    </xf>
    <xf numFmtId="0" fontId="6" fillId="0" borderId="10" xfId="277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0" fontId="52" fillId="0" borderId="10" xfId="0" applyFont="1" applyFill="1" applyBorder="1" applyAlignment="1">
      <alignment horizontal="center" vertical="center"/>
    </xf>
    <xf numFmtId="0" fontId="3" fillId="0" borderId="10" xfId="2" applyNumberFormat="1" applyFont="1" applyFill="1" applyBorder="1" applyAlignment="1" applyProtection="1">
      <alignment horizontal="center" vertical="center"/>
      <protection hidden="1"/>
    </xf>
    <xf numFmtId="9" fontId="10" fillId="0" borderId="10" xfId="4" applyFont="1" applyBorder="1" applyAlignment="1">
      <alignment horizontal="center" vertical="center"/>
    </xf>
    <xf numFmtId="9" fontId="68" fillId="0" borderId="3" xfId="384" applyNumberFormat="1" applyFont="1" applyFill="1" applyBorder="1" applyAlignment="1">
      <alignment horizontal="center" vertical="center"/>
    </xf>
    <xf numFmtId="0" fontId="3" fillId="0" borderId="5" xfId="2" applyNumberFormat="1" applyFont="1" applyFill="1" applyBorder="1" applyAlignment="1" applyProtection="1">
      <alignment horizontal="center" vertical="center"/>
      <protection hidden="1"/>
    </xf>
    <xf numFmtId="0" fontId="40" fillId="0" borderId="10" xfId="1" applyFont="1" applyFill="1" applyBorder="1" applyAlignment="1">
      <alignment horizontal="center" vertical="center"/>
    </xf>
    <xf numFmtId="3" fontId="6" fillId="0" borderId="48" xfId="369" applyNumberFormat="1" applyFont="1" applyFill="1" applyBorder="1" applyAlignment="1">
      <alignment horizontal="center" vertical="center" wrapText="1"/>
    </xf>
    <xf numFmtId="3" fontId="6" fillId="0" borderId="9" xfId="366" applyNumberFormat="1" applyFont="1" applyFill="1" applyBorder="1" applyAlignment="1">
      <alignment horizontal="left" vertical="center" wrapText="1"/>
    </xf>
    <xf numFmtId="0" fontId="69" fillId="0" borderId="0" xfId="0" applyFont="1" applyAlignment="1">
      <alignment horizontal="right" vertical="center"/>
    </xf>
    <xf numFmtId="0" fontId="40" fillId="0" borderId="10" xfId="1" applyFont="1" applyFill="1" applyBorder="1" applyAlignment="1">
      <alignment horizontal="center" vertical="center"/>
    </xf>
    <xf numFmtId="1" fontId="242" fillId="0" borderId="10" xfId="271" applyNumberFormat="1" applyFont="1" applyFill="1" applyBorder="1" applyAlignment="1" applyProtection="1">
      <alignment horizontal="center" vertical="center"/>
    </xf>
    <xf numFmtId="0" fontId="44" fillId="0" borderId="0" xfId="0" applyFont="1" applyFill="1"/>
    <xf numFmtId="0" fontId="88" fillId="0" borderId="0" xfId="0" applyFont="1" applyFill="1"/>
    <xf numFmtId="0" fontId="77" fillId="0" borderId="0" xfId="271" applyFont="1" applyBorder="1" applyAlignment="1">
      <alignment vertical="center"/>
    </xf>
    <xf numFmtId="0" fontId="43" fillId="0" borderId="0" xfId="1" applyFont="1" applyAlignment="1">
      <alignment vertical="center"/>
    </xf>
    <xf numFmtId="1" fontId="242" fillId="0" borderId="2" xfId="271" applyNumberFormat="1" applyFont="1" applyFill="1" applyBorder="1" applyAlignment="1" applyProtection="1">
      <alignment horizontal="center" vertical="center"/>
    </xf>
    <xf numFmtId="1" fontId="242" fillId="0" borderId="9" xfId="271" applyNumberFormat="1" applyFont="1" applyFill="1" applyBorder="1" applyAlignment="1" applyProtection="1">
      <alignment horizontal="center" vertical="center"/>
    </xf>
    <xf numFmtId="0" fontId="8" fillId="0" borderId="10" xfId="298" applyFont="1" applyBorder="1" applyAlignment="1" applyProtection="1">
      <alignment horizontal="center" vertical="center" wrapText="1"/>
      <protection hidden="1"/>
    </xf>
    <xf numFmtId="0" fontId="59" fillId="0" borderId="9" xfId="2" applyFont="1" applyFill="1" applyBorder="1" applyAlignment="1">
      <alignment horizontal="left" vertical="center" wrapText="1"/>
    </xf>
    <xf numFmtId="0" fontId="59" fillId="0" borderId="10" xfId="2" applyFont="1" applyFill="1" applyBorder="1" applyAlignment="1">
      <alignment horizontal="left" vertical="center" wrapText="1"/>
    </xf>
    <xf numFmtId="0" fontId="58" fillId="0" borderId="1" xfId="2" applyFont="1" applyFill="1" applyBorder="1" applyAlignment="1">
      <alignment vertical="center"/>
    </xf>
    <xf numFmtId="0" fontId="253" fillId="0" borderId="0" xfId="366" applyFont="1" applyBorder="1" applyAlignment="1">
      <alignment horizontal="right" vertical="center"/>
    </xf>
    <xf numFmtId="0" fontId="59" fillId="0" borderId="10" xfId="2" applyFont="1" applyFill="1" applyBorder="1" applyAlignment="1">
      <alignment horizontal="center" vertical="center"/>
    </xf>
    <xf numFmtId="0" fontId="59" fillId="0" borderId="10" xfId="2" applyFont="1" applyFill="1" applyBorder="1" applyAlignment="1">
      <alignment horizontal="center" vertical="center" wrapText="1"/>
    </xf>
    <xf numFmtId="0" fontId="59" fillId="0" borderId="10" xfId="2" applyFont="1" applyFill="1" applyBorder="1" applyAlignment="1">
      <alignment vertical="center"/>
    </xf>
    <xf numFmtId="0" fontId="59" fillId="0" borderId="9" xfId="2" applyFont="1" applyFill="1" applyBorder="1" applyAlignment="1">
      <alignment horizontal="center" vertical="center"/>
    </xf>
    <xf numFmtId="0" fontId="59" fillId="0" borderId="0" xfId="365" applyFont="1"/>
    <xf numFmtId="0" fontId="59" fillId="0" borderId="0" xfId="1" applyFont="1" applyAlignment="1">
      <alignment vertical="center"/>
    </xf>
    <xf numFmtId="0" fontId="47" fillId="0" borderId="0" xfId="365" applyFont="1" applyAlignment="1">
      <alignment wrapText="1"/>
    </xf>
    <xf numFmtId="0" fontId="10" fillId="0" borderId="0" xfId="365" applyFont="1"/>
    <xf numFmtId="0" fontId="10" fillId="0" borderId="0" xfId="365" applyFont="1" applyFill="1"/>
    <xf numFmtId="0" fontId="256" fillId="4" borderId="10" xfId="1" applyFont="1" applyFill="1" applyBorder="1" applyAlignment="1">
      <alignment horizontal="center" vertical="center"/>
    </xf>
    <xf numFmtId="9" fontId="139" fillId="0" borderId="10" xfId="1" applyNumberFormat="1" applyFont="1" applyBorder="1" applyAlignment="1">
      <alignment horizontal="center" vertical="center"/>
    </xf>
    <xf numFmtId="1" fontId="257" fillId="0" borderId="0" xfId="371" applyNumberFormat="1" applyFont="1" applyFill="1" applyBorder="1" applyAlignment="1">
      <alignment horizontal="center" vertical="center"/>
    </xf>
    <xf numFmtId="0" fontId="31" fillId="0" borderId="0" xfId="394" applyFont="1"/>
    <xf numFmtId="1" fontId="258" fillId="0" borderId="0" xfId="371" applyNumberFormat="1" applyFont="1" applyFill="1" applyBorder="1" applyAlignment="1">
      <alignment vertical="center" wrapText="1"/>
    </xf>
    <xf numFmtId="9" fontId="10" fillId="0" borderId="0" xfId="394" applyNumberFormat="1" applyFont="1" applyBorder="1" applyAlignment="1">
      <alignment horizontal="center" vertical="center"/>
    </xf>
    <xf numFmtId="0" fontId="59" fillId="0" borderId="10" xfId="2" applyFont="1" applyFill="1" applyBorder="1" applyAlignment="1">
      <alignment horizontal="left" vertical="center" wrapText="1"/>
    </xf>
    <xf numFmtId="1" fontId="174" fillId="0" borderId="10" xfId="271" applyNumberFormat="1" applyFont="1" applyFill="1" applyBorder="1" applyAlignment="1">
      <alignment horizontal="center" vertical="center"/>
    </xf>
    <xf numFmtId="1" fontId="242" fillId="0" borderId="10" xfId="271" applyNumberFormat="1" applyFont="1" applyFill="1" applyBorder="1" applyAlignment="1" applyProtection="1">
      <alignment horizontal="center" vertical="center"/>
    </xf>
    <xf numFmtId="1" fontId="242" fillId="0" borderId="8" xfId="271" applyNumberFormat="1" applyFont="1" applyFill="1" applyBorder="1" applyAlignment="1" applyProtection="1">
      <alignment horizontal="center" vertical="center"/>
    </xf>
    <xf numFmtId="0" fontId="40" fillId="0" borderId="10" xfId="1" applyFont="1" applyFill="1" applyBorder="1" applyAlignment="1">
      <alignment horizontal="center" vertical="center"/>
    </xf>
    <xf numFmtId="0" fontId="42" fillId="2" borderId="10" xfId="1" applyFont="1" applyFill="1" applyBorder="1" applyAlignment="1">
      <alignment horizontal="center" vertical="center" wrapText="1"/>
    </xf>
    <xf numFmtId="0" fontId="3" fillId="0" borderId="9" xfId="271" applyFont="1" applyFill="1" applyBorder="1" applyAlignment="1" applyProtection="1">
      <alignment horizontal="center" vertical="center"/>
      <protection hidden="1"/>
    </xf>
    <xf numFmtId="0" fontId="8" fillId="0" borderId="10" xfId="298" applyFont="1" applyBorder="1" applyAlignment="1" applyProtection="1">
      <alignment horizontal="center" vertical="center" wrapText="1"/>
      <protection hidden="1"/>
    </xf>
    <xf numFmtId="3" fontId="127" fillId="0" borderId="48" xfId="2" applyNumberFormat="1" applyFont="1" applyFill="1" applyBorder="1" applyAlignment="1">
      <alignment horizontal="center" vertical="center"/>
    </xf>
    <xf numFmtId="0" fontId="73" fillId="0" borderId="1" xfId="2" applyFont="1" applyFill="1" applyBorder="1" applyAlignment="1">
      <alignment vertical="center"/>
    </xf>
    <xf numFmtId="0" fontId="142" fillId="0" borderId="0" xfId="366" applyFont="1" applyBorder="1" applyAlignment="1">
      <alignment horizontal="right" vertical="center"/>
    </xf>
    <xf numFmtId="0" fontId="3" fillId="53" borderId="10" xfId="0" applyFont="1" applyFill="1" applyBorder="1" applyAlignment="1" applyProtection="1">
      <alignment horizontal="center" vertical="center" wrapText="1"/>
      <protection hidden="1"/>
    </xf>
    <xf numFmtId="2" fontId="3" fillId="0" borderId="10" xfId="0" applyNumberFormat="1" applyFont="1" applyFill="1" applyBorder="1" applyAlignment="1" applyProtection="1">
      <alignment horizontal="center" vertical="center"/>
      <protection hidden="1"/>
    </xf>
    <xf numFmtId="0" fontId="3" fillId="0" borderId="10" xfId="0" applyNumberFormat="1" applyFont="1" applyFill="1" applyBorder="1" applyAlignment="1" applyProtection="1">
      <alignment horizontal="center" vertical="center" wrapText="1"/>
      <protection hidden="1"/>
    </xf>
    <xf numFmtId="3" fontId="159" fillId="0" borderId="10" xfId="0" applyNumberFormat="1" applyFont="1" applyBorder="1" applyAlignment="1" applyProtection="1">
      <alignment horizontal="center" vertical="center"/>
      <protection hidden="1"/>
    </xf>
    <xf numFmtId="1" fontId="3" fillId="0" borderId="10" xfId="372" applyNumberFormat="1" applyFont="1" applyFill="1" applyBorder="1" applyAlignment="1">
      <alignment vertical="center"/>
    </xf>
    <xf numFmtId="0" fontId="3" fillId="0" borderId="10" xfId="2" applyFont="1" applyFill="1" applyBorder="1" applyAlignment="1" applyProtection="1">
      <alignment horizontal="center"/>
      <protection locked="0"/>
    </xf>
    <xf numFmtId="1" fontId="3" fillId="0" borderId="2" xfId="2" applyNumberFormat="1" applyFont="1" applyFill="1" applyBorder="1" applyAlignment="1" applyProtection="1">
      <alignment horizontal="center"/>
      <protection hidden="1"/>
    </xf>
    <xf numFmtId="1" fontId="3" fillId="0" borderId="10" xfId="2" applyNumberFormat="1" applyFont="1" applyFill="1" applyBorder="1" applyAlignment="1" applyProtection="1">
      <alignment horizontal="center"/>
      <protection hidden="1"/>
    </xf>
    <xf numFmtId="1" fontId="3" fillId="3" borderId="2" xfId="2" applyNumberFormat="1" applyFont="1" applyFill="1" applyBorder="1" applyAlignment="1" applyProtection="1">
      <alignment horizontal="center"/>
      <protection hidden="1"/>
    </xf>
    <xf numFmtId="0" fontId="3" fillId="0" borderId="10" xfId="2" applyNumberFormat="1" applyFont="1" applyFill="1" applyBorder="1" applyAlignment="1" applyProtection="1">
      <alignment horizontal="center"/>
      <protection hidden="1"/>
    </xf>
    <xf numFmtId="0" fontId="7" fillId="2" borderId="5" xfId="2" applyFont="1" applyFill="1" applyBorder="1" applyAlignment="1" applyProtection="1">
      <alignment horizontal="center" vertical="center"/>
      <protection locked="0"/>
    </xf>
    <xf numFmtId="0" fontId="7" fillId="2" borderId="10" xfId="2" applyFont="1" applyFill="1" applyBorder="1" applyAlignment="1" applyProtection="1">
      <alignment horizontal="center" vertical="center"/>
      <protection locked="0"/>
    </xf>
    <xf numFmtId="1" fontId="3" fillId="3" borderId="32" xfId="2" applyNumberFormat="1" applyFont="1" applyFill="1" applyBorder="1" applyAlignment="1" applyProtection="1">
      <alignment horizontal="center"/>
      <protection hidden="1"/>
    </xf>
    <xf numFmtId="1" fontId="3" fillId="0" borderId="32" xfId="2" applyNumberFormat="1" applyFont="1" applyFill="1" applyBorder="1" applyAlignment="1" applyProtection="1">
      <alignment horizontal="center"/>
      <protection hidden="1"/>
    </xf>
    <xf numFmtId="0" fontId="3" fillId="0" borderId="35" xfId="2" applyNumberFormat="1" applyFont="1" applyFill="1" applyBorder="1" applyAlignment="1" applyProtection="1">
      <alignment horizontal="center"/>
      <protection hidden="1"/>
    </xf>
    <xf numFmtId="1" fontId="3" fillId="0" borderId="26" xfId="2" applyNumberFormat="1" applyFont="1" applyFill="1" applyBorder="1" applyAlignment="1" applyProtection="1">
      <alignment horizontal="center"/>
      <protection hidden="1"/>
    </xf>
    <xf numFmtId="1" fontId="3" fillId="0" borderId="35" xfId="2" applyNumberFormat="1" applyFont="1" applyFill="1" applyBorder="1" applyAlignment="1" applyProtection="1">
      <alignment horizontal="center"/>
      <protection hidden="1"/>
    </xf>
    <xf numFmtId="0" fontId="2" fillId="0" borderId="0" xfId="2" applyFont="1" applyAlignment="1" applyProtection="1">
      <alignment horizontal="center"/>
      <protection locked="0"/>
    </xf>
    <xf numFmtId="0" fontId="3" fillId="0" borderId="10" xfId="2" applyFont="1" applyBorder="1" applyAlignment="1" applyProtection="1">
      <alignment horizontal="center"/>
      <protection locked="0"/>
    </xf>
    <xf numFmtId="0" fontId="7" fillId="3" borderId="10" xfId="2" applyFont="1" applyFill="1" applyBorder="1" applyAlignment="1" applyProtection="1">
      <alignment horizontal="center" vertical="center" wrapText="1"/>
      <protection locked="0"/>
    </xf>
    <xf numFmtId="0" fontId="8" fillId="0" borderId="10" xfId="294" applyFont="1" applyFill="1" applyBorder="1" applyAlignment="1" applyProtection="1">
      <alignment horizontal="center" vertical="center" wrapText="1"/>
      <protection hidden="1"/>
    </xf>
    <xf numFmtId="1" fontId="40" fillId="0" borderId="1" xfId="3" applyNumberFormat="1" applyFont="1" applyFill="1" applyBorder="1" applyAlignment="1">
      <alignment vertical="center"/>
    </xf>
    <xf numFmtId="1" fontId="40" fillId="0" borderId="1" xfId="3" applyNumberFormat="1" applyFont="1" applyFill="1" applyBorder="1" applyAlignment="1">
      <alignment horizontal="center" vertical="center"/>
    </xf>
    <xf numFmtId="0" fontId="3" fillId="0" borderId="32" xfId="2" applyFont="1" applyFill="1" applyBorder="1" applyAlignment="1" applyProtection="1">
      <alignment horizontal="center" vertical="center"/>
      <protection locked="0"/>
    </xf>
    <xf numFmtId="0" fontId="3" fillId="0" borderId="30" xfId="2" applyFont="1" applyFill="1" applyBorder="1" applyAlignment="1" applyProtection="1">
      <alignment horizontal="center" vertical="center"/>
      <protection locked="0"/>
    </xf>
    <xf numFmtId="0" fontId="7" fillId="0" borderId="34" xfId="2" applyFont="1" applyFill="1" applyBorder="1" applyAlignment="1" applyProtection="1">
      <protection locked="0"/>
    </xf>
    <xf numFmtId="0" fontId="3" fillId="0" borderId="34" xfId="2" applyFont="1" applyFill="1" applyBorder="1" applyAlignment="1" applyProtection="1">
      <alignment horizontal="center" vertical="center"/>
      <protection hidden="1"/>
    </xf>
    <xf numFmtId="0" fontId="3" fillId="0" borderId="34" xfId="2" applyFont="1" applyFill="1" applyBorder="1" applyAlignment="1" applyProtection="1">
      <alignment horizontal="center"/>
      <protection locked="0"/>
    </xf>
    <xf numFmtId="0" fontId="7" fillId="0" borderId="13" xfId="2" applyFont="1" applyFill="1" applyBorder="1" applyAlignment="1" applyProtection="1">
      <protection locked="0"/>
    </xf>
    <xf numFmtId="0" fontId="3" fillId="0" borderId="13" xfId="2" applyFont="1" applyFill="1" applyBorder="1" applyAlignment="1" applyProtection="1">
      <alignment horizontal="center" vertical="center"/>
      <protection hidden="1"/>
    </xf>
    <xf numFmtId="0" fontId="3" fillId="0" borderId="13" xfId="2" applyFont="1" applyFill="1" applyBorder="1" applyAlignment="1" applyProtection="1">
      <alignment horizontal="center"/>
      <protection locked="0"/>
    </xf>
    <xf numFmtId="1" fontId="3" fillId="0" borderId="35" xfId="2" applyNumberFormat="1" applyFont="1" applyFill="1" applyBorder="1" applyAlignment="1" applyProtection="1">
      <alignment horizontal="center" vertical="center"/>
      <protection hidden="1"/>
    </xf>
    <xf numFmtId="0" fontId="7" fillId="0" borderId="35" xfId="2" applyFont="1" applyFill="1" applyBorder="1" applyAlignment="1" applyProtection="1">
      <protection locked="0"/>
    </xf>
    <xf numFmtId="0" fontId="3" fillId="0" borderId="35" xfId="2" applyFont="1" applyFill="1" applyBorder="1" applyAlignment="1" applyProtection="1">
      <alignment horizontal="center" vertical="center"/>
      <protection hidden="1"/>
    </xf>
    <xf numFmtId="0" fontId="42" fillId="0" borderId="10" xfId="1" applyFont="1" applyFill="1" applyBorder="1" applyAlignment="1">
      <alignment vertical="center"/>
    </xf>
    <xf numFmtId="0" fontId="52" fillId="0" borderId="10" xfId="0" applyFont="1" applyFill="1" applyBorder="1" applyAlignment="1">
      <alignment horizontal="center" vertical="center"/>
    </xf>
    <xf numFmtId="0" fontId="245" fillId="0" borderId="10" xfId="0" applyFont="1" applyFill="1" applyBorder="1" applyAlignment="1">
      <alignment horizontal="center" vertical="center" wrapText="1"/>
    </xf>
    <xf numFmtId="1" fontId="3" fillId="0" borderId="7" xfId="2" applyNumberFormat="1" applyFont="1" applyFill="1" applyBorder="1" applyAlignment="1" applyProtection="1">
      <alignment horizontal="center"/>
      <protection hidden="1"/>
    </xf>
    <xf numFmtId="0" fontId="12" fillId="2" borderId="10" xfId="1" applyFont="1" applyFill="1" applyBorder="1" applyAlignment="1">
      <alignment horizontal="center" vertical="center" wrapText="1"/>
    </xf>
    <xf numFmtId="0" fontId="42" fillId="2" borderId="10" xfId="1" applyFont="1" applyFill="1" applyBorder="1" applyAlignment="1">
      <alignment horizontal="center" vertical="center" wrapText="1"/>
    </xf>
    <xf numFmtId="0" fontId="7" fillId="3" borderId="10" xfId="2" applyFont="1" applyFill="1" applyBorder="1" applyAlignment="1" applyProtection="1">
      <alignment horizontal="center" vertical="center" wrapText="1"/>
      <protection locked="0"/>
    </xf>
    <xf numFmtId="0" fontId="249" fillId="0" borderId="10" xfId="0" applyFont="1" applyBorder="1" applyAlignment="1">
      <alignment horizontal="center" vertical="center" wrapText="1"/>
    </xf>
    <xf numFmtId="0" fontId="3" fillId="0" borderId="10" xfId="2" applyFont="1" applyBorder="1" applyAlignment="1" applyProtection="1">
      <alignment horizontal="center" vertical="center" wrapText="1"/>
      <protection hidden="1"/>
    </xf>
    <xf numFmtId="0" fontId="46" fillId="0" borderId="0" xfId="299" applyFont="1" applyFill="1" applyBorder="1" applyAlignment="1" applyProtection="1">
      <protection locked="0"/>
    </xf>
    <xf numFmtId="14" fontId="47" fillId="0" borderId="0" xfId="299" applyNumberFormat="1" applyFont="1" applyFill="1" applyBorder="1" applyAlignment="1" applyProtection="1">
      <protection locked="0"/>
    </xf>
    <xf numFmtId="0" fontId="61" fillId="0" borderId="0" xfId="0" applyFont="1" applyFill="1" applyBorder="1"/>
    <xf numFmtId="0" fontId="259" fillId="42" borderId="44" xfId="0" applyFont="1" applyFill="1" applyBorder="1" applyAlignment="1">
      <alignment horizontal="center" vertical="center"/>
    </xf>
    <xf numFmtId="0" fontId="249" fillId="0" borderId="44" xfId="0" applyFont="1" applyBorder="1" applyAlignment="1">
      <alignment horizontal="left" vertical="center"/>
    </xf>
    <xf numFmtId="0" fontId="249" fillId="0" borderId="44" xfId="0" applyFont="1" applyBorder="1" applyAlignment="1">
      <alignment horizontal="left" vertical="center" wrapText="1"/>
    </xf>
    <xf numFmtId="0" fontId="259" fillId="42" borderId="10" xfId="0" applyFont="1" applyFill="1" applyBorder="1" applyAlignment="1">
      <alignment horizontal="center" vertical="center"/>
    </xf>
    <xf numFmtId="0" fontId="249" fillId="0" borderId="0" xfId="0" applyFont="1" applyBorder="1" applyAlignment="1">
      <alignment horizontal="center" vertical="center"/>
    </xf>
    <xf numFmtId="0" fontId="245" fillId="0" borderId="0" xfId="0" applyFont="1" applyBorder="1" applyAlignment="1">
      <alignment horizontal="center" vertical="center"/>
    </xf>
    <xf numFmtId="0" fontId="245" fillId="0" borderId="0" xfId="0" applyFont="1" applyAlignment="1">
      <alignment vertical="center"/>
    </xf>
    <xf numFmtId="0" fontId="245" fillId="0" borderId="10" xfId="0" applyFont="1" applyFill="1" applyBorder="1" applyAlignment="1">
      <alignment horizontal="center" vertical="center"/>
    </xf>
    <xf numFmtId="0" fontId="245" fillId="0" borderId="3" xfId="0" applyFont="1" applyFill="1" applyBorder="1" applyAlignment="1">
      <alignment horizontal="center" vertical="center" wrapText="1"/>
    </xf>
    <xf numFmtId="0" fontId="174" fillId="0" borderId="10" xfId="271" applyFont="1" applyBorder="1" applyAlignment="1">
      <alignment horizontal="center" vertical="center"/>
    </xf>
    <xf numFmtId="1" fontId="174" fillId="0" borderId="10" xfId="271" applyNumberFormat="1" applyFont="1" applyFill="1" applyBorder="1" applyAlignment="1">
      <alignment horizontal="center" vertical="center"/>
    </xf>
    <xf numFmtId="0" fontId="173" fillId="0" borderId="3" xfId="271" applyFont="1" applyBorder="1" applyAlignment="1">
      <alignment horizontal="center" vertical="center"/>
    </xf>
    <xf numFmtId="2" fontId="174" fillId="0" borderId="3" xfId="271" applyNumberFormat="1" applyFont="1" applyFill="1" applyBorder="1" applyAlignment="1">
      <alignment horizontal="center" vertical="center"/>
    </xf>
    <xf numFmtId="0" fontId="174" fillId="0" borderId="3" xfId="271" applyFont="1" applyFill="1" applyBorder="1" applyAlignment="1">
      <alignment horizontal="center" vertical="center"/>
    </xf>
    <xf numFmtId="2" fontId="174" fillId="0" borderId="10" xfId="271" applyNumberFormat="1" applyFont="1" applyFill="1" applyBorder="1" applyAlignment="1">
      <alignment horizontal="center" vertical="center"/>
    </xf>
    <xf numFmtId="0" fontId="174" fillId="0" borderId="10" xfId="271" applyFont="1" applyFill="1" applyBorder="1" applyAlignment="1">
      <alignment horizontal="center" vertical="center"/>
    </xf>
    <xf numFmtId="1" fontId="175" fillId="0" borderId="9" xfId="271" applyNumberFormat="1" applyFont="1" applyFill="1" applyBorder="1" applyAlignment="1">
      <alignment horizontal="center" vertical="center" wrapText="1"/>
    </xf>
    <xf numFmtId="0" fontId="174" fillId="0" borderId="3" xfId="271" applyFont="1" applyFill="1" applyBorder="1" applyAlignment="1">
      <alignment horizontal="left" vertical="center" wrapText="1"/>
    </xf>
    <xf numFmtId="3" fontId="171" fillId="0" borderId="0" xfId="372" applyNumberFormat="1" applyFont="1" applyBorder="1" applyAlignment="1">
      <alignment horizontal="center" wrapText="1"/>
    </xf>
    <xf numFmtId="1" fontId="44" fillId="0" borderId="42" xfId="243" applyNumberFormat="1" applyFont="1" applyFill="1" applyBorder="1" applyAlignment="1" applyProtection="1">
      <alignment horizontal="right" vertical="center" wrapText="1"/>
    </xf>
    <xf numFmtId="1" fontId="66" fillId="0" borderId="42" xfId="243" applyNumberFormat="1" applyFont="1" applyFill="1" applyBorder="1" applyAlignment="1" applyProtection="1">
      <alignment horizontal="right" vertical="center" wrapText="1"/>
    </xf>
    <xf numFmtId="1" fontId="260" fillId="0" borderId="42" xfId="243" applyNumberFormat="1" applyFont="1" applyFill="1" applyBorder="1" applyAlignment="1" applyProtection="1">
      <alignment vertical="center" wrapText="1"/>
    </xf>
    <xf numFmtId="0" fontId="7" fillId="0" borderId="0" xfId="372" applyFont="1" applyBorder="1" applyAlignment="1">
      <alignment vertical="top" wrapText="1"/>
    </xf>
    <xf numFmtId="0" fontId="3" fillId="0" borderId="0" xfId="394" applyFont="1"/>
    <xf numFmtId="1" fontId="44" fillId="0" borderId="42" xfId="371" applyNumberFormat="1" applyFont="1" applyFill="1" applyBorder="1" applyAlignment="1">
      <alignment wrapText="1"/>
    </xf>
    <xf numFmtId="1" fontId="44" fillId="0" borderId="42" xfId="371" applyNumberFormat="1" applyFont="1" applyFill="1" applyBorder="1" applyAlignment="1"/>
    <xf numFmtId="14" fontId="44" fillId="0" borderId="42" xfId="394" applyNumberFormat="1" applyFont="1" applyBorder="1" applyAlignment="1"/>
    <xf numFmtId="0" fontId="127" fillId="0" borderId="0" xfId="394" applyFont="1"/>
    <xf numFmtId="0" fontId="12" fillId="42" borderId="44" xfId="372" applyFont="1" applyFill="1" applyBorder="1" applyAlignment="1">
      <alignment horizontal="center"/>
    </xf>
    <xf numFmtId="0" fontId="12" fillId="42" borderId="44" xfId="372" applyNumberFormat="1" applyFont="1" applyFill="1" applyBorder="1" applyAlignment="1">
      <alignment horizontal="center" vertical="top"/>
    </xf>
    <xf numFmtId="0" fontId="12" fillId="42" borderId="44" xfId="372" applyFont="1" applyFill="1" applyBorder="1" applyAlignment="1">
      <alignment horizontal="center" vertical="top" wrapText="1"/>
    </xf>
    <xf numFmtId="1" fontId="8" fillId="0" borderId="44" xfId="372" applyNumberFormat="1" applyFont="1" applyFill="1" applyBorder="1" applyAlignment="1">
      <alignment vertical="center"/>
    </xf>
    <xf numFmtId="3" fontId="8" fillId="0" borderId="44" xfId="394" applyNumberFormat="1" applyFont="1" applyFill="1" applyBorder="1" applyAlignment="1">
      <alignment horizontal="center"/>
    </xf>
    <xf numFmtId="3" fontId="8" fillId="0" borderId="44" xfId="281" applyNumberFormat="1" applyFont="1" applyFill="1" applyBorder="1" applyAlignment="1">
      <alignment horizontal="center" vertical="center"/>
    </xf>
    <xf numFmtId="3" fontId="8" fillId="0" borderId="44" xfId="394" applyNumberFormat="1" applyFont="1" applyFill="1" applyBorder="1" applyAlignment="1">
      <alignment horizontal="center" vertical="center"/>
    </xf>
    <xf numFmtId="3" fontId="8" fillId="0" borderId="44" xfId="281" applyNumberFormat="1" applyFont="1" applyFill="1" applyBorder="1" applyAlignment="1">
      <alignment horizontal="center"/>
    </xf>
    <xf numFmtId="1" fontId="8" fillId="0" borderId="72" xfId="372" applyNumberFormat="1" applyFont="1" applyFill="1" applyBorder="1" applyAlignment="1">
      <alignment horizontal="center"/>
    </xf>
    <xf numFmtId="1" fontId="8" fillId="0" borderId="73" xfId="394" applyNumberFormat="1" applyFont="1" applyFill="1" applyBorder="1" applyAlignment="1">
      <alignment horizontal="center"/>
    </xf>
    <xf numFmtId="3" fontId="8" fillId="0" borderId="72" xfId="394" applyNumberFormat="1" applyFont="1" applyFill="1" applyBorder="1" applyAlignment="1">
      <alignment horizontal="center"/>
    </xf>
    <xf numFmtId="1" fontId="8" fillId="0" borderId="44" xfId="394" applyNumberFormat="1" applyFont="1" applyFill="1" applyBorder="1" applyAlignment="1">
      <alignment horizontal="center" vertical="center"/>
    </xf>
    <xf numFmtId="3" fontId="8" fillId="0" borderId="44" xfId="372" applyNumberFormat="1" applyFont="1" applyFill="1" applyBorder="1" applyAlignment="1">
      <alignment horizontal="center" vertical="center"/>
    </xf>
    <xf numFmtId="0" fontId="8" fillId="0" borderId="44" xfId="281" applyFont="1" applyFill="1" applyBorder="1" applyAlignment="1">
      <alignment vertical="center"/>
    </xf>
    <xf numFmtId="1" fontId="12" fillId="42" borderId="44" xfId="372" applyNumberFormat="1" applyFont="1" applyFill="1" applyBorder="1" applyAlignment="1"/>
    <xf numFmtId="1" fontId="8" fillId="42" borderId="44" xfId="372" applyNumberFormat="1" applyFont="1" applyFill="1" applyBorder="1" applyAlignment="1">
      <alignment horizontal="center"/>
    </xf>
    <xf numFmtId="1" fontId="8" fillId="42" borderId="72" xfId="372" applyNumberFormat="1" applyFont="1" applyFill="1" applyBorder="1" applyAlignment="1">
      <alignment horizontal="center"/>
    </xf>
    <xf numFmtId="1" fontId="8" fillId="42" borderId="44" xfId="372" applyNumberFormat="1" applyFont="1" applyFill="1" applyBorder="1" applyAlignment="1">
      <alignment horizontal="center" vertical="center"/>
    </xf>
    <xf numFmtId="1" fontId="8" fillId="0" borderId="72" xfId="372" applyNumberFormat="1" applyFont="1" applyFill="1" applyBorder="1" applyAlignment="1">
      <alignment vertical="center" wrapText="1"/>
    </xf>
    <xf numFmtId="1" fontId="144" fillId="0" borderId="72" xfId="372" applyNumberFormat="1" applyFont="1" applyFill="1" applyBorder="1" applyAlignment="1">
      <alignment horizontal="center" vertical="center"/>
    </xf>
    <xf numFmtId="1" fontId="144" fillId="0" borderId="44" xfId="372" applyNumberFormat="1" applyFont="1" applyFill="1" applyBorder="1" applyAlignment="1">
      <alignment horizontal="center" vertical="center"/>
    </xf>
    <xf numFmtId="3" fontId="144" fillId="0" borderId="44" xfId="281" applyNumberFormat="1" applyFont="1" applyFill="1" applyBorder="1" applyAlignment="1">
      <alignment horizontal="center" vertical="center"/>
    </xf>
    <xf numFmtId="1" fontId="8" fillId="0" borderId="72" xfId="372" applyNumberFormat="1" applyFont="1" applyFill="1" applyBorder="1" applyAlignment="1">
      <alignment vertical="top" wrapText="1"/>
    </xf>
    <xf numFmtId="1" fontId="12" fillId="42" borderId="44" xfId="372" applyNumberFormat="1" applyFont="1" applyFill="1" applyBorder="1" applyAlignment="1">
      <alignment vertical="center"/>
    </xf>
    <xf numFmtId="1" fontId="8" fillId="42" borderId="44" xfId="372" applyNumberFormat="1" applyFont="1" applyFill="1" applyBorder="1" applyAlignment="1">
      <alignment horizontal="center" vertical="center" wrapText="1"/>
    </xf>
    <xf numFmtId="0" fontId="128" fillId="0" borderId="0" xfId="394" applyFont="1" applyFill="1" applyBorder="1" applyAlignment="1">
      <alignment horizontal="left" vertical="center"/>
    </xf>
    <xf numFmtId="0" fontId="3" fillId="0" borderId="0" xfId="394" applyFont="1" applyFill="1" applyBorder="1" applyAlignment="1">
      <alignment horizontal="center" vertical="center" wrapText="1"/>
    </xf>
    <xf numFmtId="0" fontId="10" fillId="0" borderId="0" xfId="394" applyFont="1" applyFill="1" applyBorder="1" applyAlignment="1">
      <alignment horizontal="left" vertical="center"/>
    </xf>
    <xf numFmtId="0" fontId="3" fillId="0" borderId="0" xfId="394" applyFont="1" applyFill="1" applyBorder="1" applyAlignment="1">
      <alignment horizontal="left" vertical="center"/>
    </xf>
    <xf numFmtId="1" fontId="7" fillId="0" borderId="0" xfId="371" applyNumberFormat="1" applyFont="1" applyFill="1" applyBorder="1" applyAlignment="1">
      <alignment vertical="center" wrapText="1"/>
    </xf>
    <xf numFmtId="0" fontId="10" fillId="0" borderId="0" xfId="394" applyFont="1"/>
    <xf numFmtId="0" fontId="9" fillId="0" borderId="0" xfId="379" applyFont="1" applyAlignment="1">
      <alignment vertical="center"/>
    </xf>
    <xf numFmtId="0" fontId="7" fillId="0" borderId="0" xfId="379" applyFont="1" applyAlignment="1">
      <alignment vertical="center"/>
    </xf>
    <xf numFmtId="4" fontId="3" fillId="0" borderId="0" xfId="394" applyNumberFormat="1" applyFont="1"/>
    <xf numFmtId="0" fontId="3" fillId="0" borderId="0" xfId="379" applyFont="1" applyAlignment="1">
      <alignment vertical="center" wrapText="1"/>
    </xf>
    <xf numFmtId="0" fontId="127" fillId="0" borderId="0" xfId="379" applyFont="1" applyAlignment="1">
      <alignment vertical="center" wrapText="1"/>
    </xf>
    <xf numFmtId="0" fontId="10" fillId="0" borderId="0" xfId="281" applyFont="1" applyAlignment="1">
      <alignment vertical="center"/>
    </xf>
    <xf numFmtId="0" fontId="3" fillId="0" borderId="0" xfId="281" applyFont="1" applyAlignment="1">
      <alignment vertical="center"/>
    </xf>
    <xf numFmtId="0" fontId="3" fillId="0" borderId="0" xfId="379" applyFont="1" applyAlignment="1">
      <alignment vertical="center"/>
    </xf>
    <xf numFmtId="0" fontId="3" fillId="0" borderId="0" xfId="281" applyFont="1" applyAlignment="1">
      <alignment horizontal="right" vertical="center"/>
    </xf>
    <xf numFmtId="1" fontId="263" fillId="0" borderId="0" xfId="371" applyNumberFormat="1" applyFont="1" applyFill="1" applyBorder="1" applyAlignment="1">
      <alignment horizontal="right" vertical="center" wrapText="1"/>
    </xf>
    <xf numFmtId="14" fontId="47" fillId="0" borderId="0" xfId="394" applyNumberFormat="1" applyFont="1"/>
    <xf numFmtId="1" fontId="263" fillId="0" borderId="0" xfId="371" applyNumberFormat="1" applyFont="1" applyFill="1" applyBorder="1" applyAlignment="1">
      <alignment vertical="center"/>
    </xf>
    <xf numFmtId="0" fontId="258" fillId="0" borderId="0" xfId="372" applyFont="1" applyBorder="1" applyAlignment="1">
      <alignment vertical="top" wrapText="1"/>
    </xf>
    <xf numFmtId="4" fontId="31" fillId="0" borderId="0" xfId="394" applyNumberFormat="1" applyFont="1"/>
    <xf numFmtId="1" fontId="261" fillId="0" borderId="44" xfId="0" applyNumberFormat="1" applyFont="1" applyFill="1" applyBorder="1" applyAlignment="1">
      <alignment horizontal="center" vertical="center"/>
    </xf>
    <xf numFmtId="3" fontId="261" fillId="0" borderId="44" xfId="0" applyNumberFormat="1" applyFont="1" applyFill="1" applyBorder="1" applyAlignment="1">
      <alignment horizontal="center" vertical="center"/>
    </xf>
    <xf numFmtId="0" fontId="42" fillId="0" borderId="10" xfId="1" applyFont="1" applyFill="1" applyBorder="1" applyAlignment="1">
      <alignment vertical="center"/>
    </xf>
    <xf numFmtId="0" fontId="8" fillId="0" borderId="10" xfId="294" applyFont="1" applyFill="1" applyBorder="1" applyAlignment="1" applyProtection="1">
      <alignment horizontal="center" vertical="center" wrapText="1"/>
      <protection hidden="1"/>
    </xf>
    <xf numFmtId="0" fontId="174" fillId="0" borderId="10" xfId="271" applyFont="1" applyFill="1" applyBorder="1" applyAlignment="1">
      <alignment vertical="center"/>
    </xf>
    <xf numFmtId="0" fontId="173" fillId="0" borderId="6" xfId="271" applyFont="1" applyFill="1" applyBorder="1" applyAlignment="1">
      <alignment vertical="center"/>
    </xf>
    <xf numFmtId="0" fontId="174" fillId="0" borderId="10" xfId="271" applyFont="1" applyBorder="1" applyAlignment="1">
      <alignment horizontal="left" vertical="center" wrapText="1"/>
    </xf>
    <xf numFmtId="0" fontId="105" fillId="0" borderId="0" xfId="372" applyFont="1" applyBorder="1" applyAlignment="1">
      <alignment horizontal="left" vertical="center" wrapText="1"/>
    </xf>
    <xf numFmtId="0" fontId="172" fillId="2" borderId="10" xfId="271" applyFont="1" applyFill="1" applyBorder="1" applyAlignment="1">
      <alignment horizontal="center" vertical="center" wrapText="1"/>
    </xf>
    <xf numFmtId="1" fontId="172" fillId="0" borderId="10" xfId="271" applyNumberFormat="1" applyFont="1" applyFill="1" applyBorder="1" applyAlignment="1">
      <alignment horizontal="center" vertical="center"/>
    </xf>
    <xf numFmtId="0" fontId="145" fillId="0" borderId="10" xfId="298" applyFont="1" applyFill="1" applyBorder="1" applyAlignment="1">
      <alignment horizontal="center" vertical="center"/>
    </xf>
    <xf numFmtId="1" fontId="3" fillId="0" borderId="2" xfId="2" applyNumberFormat="1" applyFont="1" applyFill="1" applyBorder="1" applyAlignment="1" applyProtection="1">
      <alignment horizontal="center"/>
      <protection hidden="1"/>
    </xf>
    <xf numFmtId="1" fontId="3" fillId="3" borderId="2" xfId="2" applyNumberFormat="1" applyFont="1" applyFill="1" applyBorder="1" applyAlignment="1" applyProtection="1">
      <alignment horizontal="center"/>
      <protection hidden="1"/>
    </xf>
    <xf numFmtId="0" fontId="3" fillId="0" borderId="35" xfId="2" applyNumberFormat="1" applyFont="1" applyFill="1" applyBorder="1" applyAlignment="1" applyProtection="1">
      <alignment horizontal="center"/>
      <protection hidden="1"/>
    </xf>
    <xf numFmtId="1" fontId="3" fillId="0" borderId="10" xfId="2" applyNumberFormat="1" applyFont="1" applyFill="1" applyBorder="1" applyAlignment="1" applyProtection="1">
      <alignment horizontal="center"/>
      <protection hidden="1"/>
    </xf>
    <xf numFmtId="0" fontId="78" fillId="0" borderId="0" xfId="0" applyFont="1" applyAlignment="1">
      <alignment vertical="center"/>
    </xf>
    <xf numFmtId="0" fontId="266" fillId="0" borderId="1" xfId="0" applyFont="1" applyBorder="1" applyAlignment="1">
      <alignment vertical="center" wrapText="1"/>
    </xf>
    <xf numFmtId="0" fontId="78" fillId="0" borderId="0" xfId="0" applyFont="1" applyFill="1" applyAlignment="1">
      <alignment horizontal="right" vertical="center"/>
    </xf>
    <xf numFmtId="4" fontId="70" fillId="0" borderId="0" xfId="282" applyNumberFormat="1" applyFont="1" applyFill="1" applyBorder="1" applyAlignment="1">
      <alignment horizontal="right" vertical="center"/>
    </xf>
    <xf numFmtId="0" fontId="57" fillId="62" borderId="10" xfId="282" applyFont="1" applyFill="1" applyBorder="1" applyAlignment="1">
      <alignment horizontal="center" vertical="center"/>
    </xf>
    <xf numFmtId="0" fontId="78" fillId="0" borderId="0" xfId="0" applyFont="1" applyAlignment="1">
      <alignment horizontal="center" vertical="center"/>
    </xf>
    <xf numFmtId="0" fontId="74" fillId="62" borderId="10" xfId="282" applyFont="1" applyFill="1" applyBorder="1" applyAlignment="1">
      <alignment horizontal="center" vertical="center"/>
    </xf>
    <xf numFmtId="0" fontId="74" fillId="62" borderId="10" xfId="282" applyFont="1" applyFill="1" applyBorder="1" applyAlignment="1">
      <alignment horizontal="center" vertical="center" wrapText="1"/>
    </xf>
    <xf numFmtId="172" fontId="6" fillId="0" borderId="10" xfId="282" applyNumberFormat="1" applyFont="1" applyFill="1" applyBorder="1" applyAlignment="1">
      <alignment horizontal="left" vertical="center" wrapText="1"/>
    </xf>
    <xf numFmtId="172" fontId="74" fillId="0" borderId="10" xfId="282" applyNumberFormat="1" applyFont="1" applyFill="1" applyBorder="1" applyAlignment="1">
      <alignment horizontal="center" vertical="center"/>
    </xf>
    <xf numFmtId="172" fontId="6" fillId="0" borderId="10" xfId="282" applyNumberFormat="1" applyFont="1" applyFill="1" applyBorder="1" applyAlignment="1">
      <alignment horizontal="center" vertical="center"/>
    </xf>
    <xf numFmtId="3" fontId="70" fillId="0" borderId="10" xfId="282" applyNumberFormat="1" applyFont="1" applyFill="1" applyBorder="1" applyAlignment="1">
      <alignment horizontal="center" vertical="center"/>
    </xf>
    <xf numFmtId="3" fontId="6" fillId="0" borderId="10" xfId="282" applyNumberFormat="1" applyFont="1" applyFill="1" applyBorder="1" applyAlignment="1">
      <alignment horizontal="center" vertical="center"/>
    </xf>
    <xf numFmtId="4" fontId="70" fillId="0" borderId="10" xfId="282" applyNumberFormat="1" applyFont="1" applyFill="1" applyBorder="1" applyAlignment="1">
      <alignment horizontal="center" vertical="center"/>
    </xf>
    <xf numFmtId="172" fontId="74" fillId="0" borderId="10" xfId="282" applyNumberFormat="1" applyFont="1" applyFill="1" applyBorder="1" applyAlignment="1">
      <alignment horizontal="center" vertical="center" wrapText="1"/>
    </xf>
    <xf numFmtId="0" fontId="46" fillId="62" borderId="10" xfId="282" applyFont="1" applyFill="1" applyBorder="1" applyAlignment="1">
      <alignment horizontal="left" vertical="center" wrapText="1"/>
    </xf>
    <xf numFmtId="0" fontId="46" fillId="62" borderId="2" xfId="282" applyFont="1" applyFill="1" applyBorder="1" applyAlignment="1">
      <alignment horizontal="left" vertical="center" wrapText="1"/>
    </xf>
    <xf numFmtId="0" fontId="46" fillId="62" borderId="5" xfId="282" applyFont="1" applyFill="1" applyBorder="1" applyAlignment="1">
      <alignment horizontal="left" vertical="center" wrapText="1"/>
    </xf>
    <xf numFmtId="0" fontId="6" fillId="0" borderId="0" xfId="0" applyFont="1" applyAlignment="1">
      <alignment vertical="center"/>
    </xf>
    <xf numFmtId="1" fontId="6" fillId="0" borderId="2" xfId="282" applyNumberFormat="1" applyFont="1" applyFill="1" applyBorder="1" applyAlignment="1">
      <alignment horizontal="center" vertical="center" wrapText="1"/>
    </xf>
    <xf numFmtId="1" fontId="6" fillId="0" borderId="5" xfId="282" applyNumberFormat="1" applyFont="1" applyFill="1" applyBorder="1" applyAlignment="1">
      <alignment horizontal="center" vertical="center" wrapText="1"/>
    </xf>
    <xf numFmtId="0" fontId="78" fillId="0" borderId="0" xfId="0" applyFont="1" applyAlignment="1">
      <alignment vertical="center" wrapText="1"/>
    </xf>
    <xf numFmtId="4" fontId="59" fillId="0" borderId="10" xfId="2" applyNumberFormat="1" applyFont="1" applyFill="1" applyBorder="1" applyAlignment="1">
      <alignment horizontal="center" vertical="center"/>
    </xf>
    <xf numFmtId="0" fontId="52" fillId="0" borderId="10" xfId="0" applyFont="1" applyFill="1" applyBorder="1" applyAlignment="1">
      <alignment horizontal="center" vertical="center"/>
    </xf>
    <xf numFmtId="0" fontId="172" fillId="2" borderId="10" xfId="271" applyFont="1" applyFill="1" applyBorder="1" applyAlignment="1">
      <alignment horizontal="center" vertical="center"/>
    </xf>
    <xf numFmtId="9" fontId="10" fillId="0" borderId="10" xfId="4" applyFont="1" applyBorder="1" applyAlignment="1">
      <alignment horizontal="center" vertical="center"/>
    </xf>
    <xf numFmtId="0" fontId="40" fillId="0" borderId="10" xfId="1" applyFont="1" applyFill="1" applyBorder="1" applyAlignment="1">
      <alignment horizontal="center" vertical="center"/>
    </xf>
    <xf numFmtId="0" fontId="42" fillId="2" borderId="10" xfId="1" applyFont="1" applyFill="1" applyBorder="1" applyAlignment="1">
      <alignment horizontal="center" wrapText="1"/>
    </xf>
    <xf numFmtId="0" fontId="116" fillId="0" borderId="13" xfId="2" applyNumberFormat="1" applyFont="1" applyFill="1" applyBorder="1" applyAlignment="1" applyProtection="1">
      <alignment horizontal="center" vertical="center" wrapText="1"/>
      <protection hidden="1"/>
    </xf>
    <xf numFmtId="0" fontId="116" fillId="0" borderId="9" xfId="2" applyNumberFormat="1" applyFont="1" applyFill="1" applyBorder="1" applyAlignment="1" applyProtection="1">
      <alignment horizontal="center" wrapText="1"/>
      <protection hidden="1"/>
    </xf>
    <xf numFmtId="3" fontId="59" fillId="0" borderId="9" xfId="365" applyNumberFormat="1" applyFont="1" applyFill="1" applyBorder="1" applyAlignment="1">
      <alignment horizontal="center" vertical="center" wrapText="1"/>
    </xf>
    <xf numFmtId="3" fontId="59" fillId="0" borderId="10" xfId="365" applyNumberFormat="1" applyFont="1" applyFill="1" applyBorder="1" applyAlignment="1">
      <alignment horizontal="center" vertical="center" wrapText="1"/>
    </xf>
    <xf numFmtId="1" fontId="57" fillId="0" borderId="10" xfId="277" applyNumberFormat="1" applyFont="1" applyFill="1" applyBorder="1" applyAlignment="1">
      <alignment horizontal="center" vertical="center"/>
    </xf>
    <xf numFmtId="1" fontId="6" fillId="0" borderId="10" xfId="277" applyNumberFormat="1" applyFont="1" applyFill="1" applyBorder="1" applyAlignment="1">
      <alignment horizontal="center" vertical="center"/>
    </xf>
    <xf numFmtId="0" fontId="98" fillId="0" borderId="0" xfId="1" applyNumberFormat="1" applyFont="1" applyFill="1" applyBorder="1" applyAlignment="1">
      <alignment vertical="center" wrapText="1"/>
    </xf>
    <xf numFmtId="0" fontId="100" fillId="0" borderId="0" xfId="1" applyNumberFormat="1" applyFont="1" applyFill="1" applyBorder="1" applyAlignment="1">
      <alignment vertical="center"/>
    </xf>
    <xf numFmtId="0" fontId="99" fillId="0" borderId="6" xfId="1" applyFont="1" applyFill="1" applyBorder="1" applyAlignment="1">
      <alignment vertical="center" wrapText="1"/>
    </xf>
    <xf numFmtId="9" fontId="100" fillId="0" borderId="6" xfId="1" applyNumberFormat="1" applyFont="1" applyFill="1" applyBorder="1" applyAlignment="1">
      <alignment vertical="center"/>
    </xf>
    <xf numFmtId="0" fontId="256" fillId="4" borderId="10" xfId="271" applyFont="1" applyFill="1" applyBorder="1" applyAlignment="1">
      <alignment horizontal="center" vertical="center"/>
    </xf>
    <xf numFmtId="0" fontId="9" fillId="4" borderId="10" xfId="271" applyFont="1" applyFill="1" applyBorder="1" applyAlignment="1">
      <alignment horizontal="center" vertical="center" wrapText="1"/>
    </xf>
    <xf numFmtId="14" fontId="3" fillId="0" borderId="1" xfId="2" applyNumberFormat="1" applyFont="1" applyBorder="1" applyAlignment="1" applyProtection="1">
      <alignment horizontal="left"/>
      <protection locked="0"/>
    </xf>
    <xf numFmtId="1" fontId="3" fillId="0" borderId="1" xfId="367" applyNumberFormat="1" applyFont="1" applyFill="1" applyBorder="1" applyAlignment="1" applyProtection="1">
      <alignment horizontal="left"/>
      <protection locked="0"/>
    </xf>
    <xf numFmtId="0" fontId="102" fillId="0" borderId="15" xfId="366" applyFont="1" applyBorder="1" applyAlignment="1">
      <alignment vertical="center" wrapText="1"/>
    </xf>
    <xf numFmtId="0" fontId="102" fillId="0" borderId="16" xfId="366" applyFont="1" applyBorder="1" applyAlignment="1">
      <alignment vertical="center" wrapText="1"/>
    </xf>
    <xf numFmtId="0" fontId="70" fillId="0" borderId="3" xfId="369" applyFont="1" applyFill="1" applyBorder="1" applyAlignment="1">
      <alignment horizontal="center" vertical="center" wrapText="1"/>
    </xf>
    <xf numFmtId="0" fontId="70" fillId="0" borderId="48" xfId="369" applyFont="1" applyFill="1" applyBorder="1" applyAlignment="1">
      <alignment horizontal="center" vertical="center" wrapText="1"/>
    </xf>
    <xf numFmtId="0" fontId="70" fillId="0" borderId="10" xfId="369" applyFont="1" applyFill="1" applyBorder="1" applyAlignment="1">
      <alignment horizontal="center" vertical="center" wrapText="1"/>
    </xf>
    <xf numFmtId="0" fontId="70" fillId="0" borderId="10" xfId="369" applyFont="1" applyFill="1" applyBorder="1" applyAlignment="1">
      <alignment horizontal="left" vertical="center" wrapText="1"/>
    </xf>
    <xf numFmtId="0" fontId="6" fillId="0" borderId="10" xfId="366" applyFont="1" applyFill="1" applyBorder="1" applyAlignment="1">
      <alignment horizontal="center" vertical="center" wrapText="1"/>
    </xf>
    <xf numFmtId="0" fontId="6" fillId="0" borderId="8" xfId="369" applyFont="1" applyFill="1" applyBorder="1" applyAlignment="1">
      <alignment horizontal="center" vertical="center" wrapText="1"/>
    </xf>
    <xf numFmtId="0" fontId="57" fillId="0" borderId="10" xfId="366" applyNumberFormat="1" applyFont="1" applyFill="1" applyBorder="1" applyAlignment="1">
      <alignment horizontal="center" vertical="center"/>
    </xf>
    <xf numFmtId="3" fontId="6" fillId="0" borderId="10" xfId="366" applyNumberFormat="1" applyFont="1" applyFill="1" applyBorder="1" applyAlignment="1">
      <alignment horizontal="center" vertical="center"/>
    </xf>
    <xf numFmtId="0" fontId="6" fillId="0" borderId="9" xfId="366" applyFont="1" applyFill="1" applyBorder="1" applyAlignment="1">
      <alignment horizontal="center" vertical="center"/>
    </xf>
    <xf numFmtId="0" fontId="6" fillId="0" borderId="5" xfId="366" applyFont="1" applyFill="1" applyBorder="1" applyAlignment="1">
      <alignment horizontal="left" vertical="center" wrapText="1"/>
    </xf>
    <xf numFmtId="1" fontId="3" fillId="3" borderId="32" xfId="2" applyNumberFormat="1" applyFont="1" applyFill="1" applyBorder="1" applyAlignment="1" applyProtection="1">
      <alignment horizontal="center"/>
      <protection hidden="1"/>
    </xf>
    <xf numFmtId="1" fontId="3" fillId="0" borderId="35" xfId="2" applyNumberFormat="1" applyFont="1" applyFill="1" applyBorder="1" applyAlignment="1" applyProtection="1">
      <alignment horizontal="center"/>
      <protection hidden="1"/>
    </xf>
    <xf numFmtId="1" fontId="3" fillId="0" borderId="2" xfId="2" applyNumberFormat="1" applyFont="1" applyFill="1" applyBorder="1" applyAlignment="1" applyProtection="1">
      <alignment horizontal="center"/>
      <protection hidden="1"/>
    </xf>
    <xf numFmtId="1" fontId="3" fillId="0" borderId="10" xfId="2" applyNumberFormat="1" applyFont="1" applyFill="1" applyBorder="1" applyAlignment="1" applyProtection="1">
      <alignment horizontal="center"/>
      <protection hidden="1"/>
    </xf>
    <xf numFmtId="1" fontId="3" fillId="0" borderId="26" xfId="2" applyNumberFormat="1" applyFont="1" applyFill="1" applyBorder="1" applyAlignment="1" applyProtection="1">
      <alignment horizontal="center"/>
      <protection hidden="1"/>
    </xf>
    <xf numFmtId="1" fontId="3" fillId="0" borderId="32" xfId="2" applyNumberFormat="1" applyFont="1" applyFill="1" applyBorder="1" applyAlignment="1" applyProtection="1">
      <alignment horizontal="center"/>
      <protection hidden="1"/>
    </xf>
    <xf numFmtId="0" fontId="70" fillId="0" borderId="49" xfId="369" applyFont="1" applyFill="1" applyBorder="1" applyAlignment="1">
      <alignment vertical="center" wrapText="1"/>
    </xf>
    <xf numFmtId="3" fontId="6" fillId="0" borderId="46" xfId="2" applyNumberFormat="1" applyFont="1" applyFill="1" applyBorder="1" applyAlignment="1">
      <alignment horizontal="center" vertical="center"/>
    </xf>
    <xf numFmtId="0" fontId="6" fillId="0" borderId="49" xfId="366" applyFont="1" applyFill="1" applyBorder="1" applyAlignment="1">
      <alignment horizontal="center" vertical="center" wrapText="1"/>
    </xf>
    <xf numFmtId="0" fontId="70" fillId="0" borderId="48" xfId="366" applyFont="1" applyFill="1" applyBorder="1" applyAlignment="1">
      <alignment vertical="center" wrapText="1"/>
    </xf>
    <xf numFmtId="0" fontId="70" fillId="0" borderId="48" xfId="366" applyFont="1" applyFill="1" applyBorder="1" applyAlignment="1">
      <alignment horizontal="center" vertical="center"/>
    </xf>
    <xf numFmtId="0" fontId="70" fillId="0" borderId="49" xfId="366" applyFont="1" applyFill="1" applyBorder="1" applyAlignment="1">
      <alignment vertical="center" wrapText="1"/>
    </xf>
    <xf numFmtId="1" fontId="3" fillId="0" borderId="10" xfId="2" applyNumberFormat="1" applyFont="1" applyFill="1" applyBorder="1" applyAlignment="1" applyProtection="1">
      <alignment horizontal="center"/>
      <protection hidden="1"/>
    </xf>
    <xf numFmtId="0" fontId="7" fillId="3" borderId="2" xfId="2" applyFont="1" applyFill="1" applyBorder="1" applyAlignment="1" applyProtection="1">
      <alignment horizontal="center" vertical="center"/>
      <protection locked="0"/>
    </xf>
    <xf numFmtId="0" fontId="8" fillId="0" borderId="10" xfId="298" applyFont="1" applyBorder="1" applyAlignment="1" applyProtection="1">
      <alignment horizontal="center" vertical="center"/>
      <protection hidden="1"/>
    </xf>
    <xf numFmtId="3" fontId="102" fillId="0" borderId="10" xfId="366" applyNumberFormat="1" applyFont="1" applyFill="1" applyBorder="1" applyAlignment="1">
      <alignment horizontal="center" vertical="center"/>
    </xf>
    <xf numFmtId="0" fontId="7" fillId="3" borderId="10" xfId="2" applyFont="1" applyFill="1" applyBorder="1" applyAlignment="1" applyProtection="1">
      <alignment horizontal="center" vertical="center"/>
      <protection locked="0"/>
    </xf>
    <xf numFmtId="0" fontId="7" fillId="3" borderId="10" xfId="1" applyFont="1" applyFill="1" applyBorder="1" applyAlignment="1" applyProtection="1">
      <alignment horizontal="center" vertical="center"/>
      <protection locked="0"/>
    </xf>
    <xf numFmtId="0" fontId="7" fillId="3" borderId="10" xfId="1" applyFont="1" applyFill="1" applyBorder="1" applyAlignment="1" applyProtection="1">
      <alignment horizontal="center" vertical="center" wrapText="1"/>
      <protection locked="0"/>
    </xf>
    <xf numFmtId="0" fontId="102" fillId="0" borderId="2" xfId="366" applyFont="1" applyBorder="1" applyAlignment="1">
      <alignment vertical="center" wrapText="1"/>
    </xf>
    <xf numFmtId="0" fontId="102" fillId="0" borderId="5" xfId="366" applyFont="1" applyBorder="1" applyAlignment="1">
      <alignment vertical="center" wrapText="1"/>
    </xf>
    <xf numFmtId="0" fontId="94" fillId="0" borderId="10" xfId="366" applyFont="1" applyBorder="1" applyAlignment="1">
      <alignment horizontal="center" vertical="center"/>
    </xf>
    <xf numFmtId="0" fontId="97" fillId="0" borderId="3" xfId="366" applyFont="1" applyFill="1" applyBorder="1"/>
    <xf numFmtId="0" fontId="102" fillId="49" borderId="2" xfId="366" applyFont="1" applyFill="1" applyBorder="1" applyAlignment="1">
      <alignment vertical="center" wrapText="1"/>
    </xf>
    <xf numFmtId="0" fontId="102" fillId="49" borderId="5" xfId="366" applyFont="1" applyFill="1" applyBorder="1" applyAlignment="1">
      <alignment vertical="center" wrapText="1"/>
    </xf>
    <xf numFmtId="0" fontId="3" fillId="0" borderId="10" xfId="2" applyFont="1" applyBorder="1" applyAlignment="1" applyProtection="1">
      <alignment horizontal="center" vertical="center" wrapText="1"/>
      <protection hidden="1"/>
    </xf>
    <xf numFmtId="0" fontId="7" fillId="3" borderId="10" xfId="2" applyFont="1" applyFill="1" applyBorder="1" applyAlignment="1" applyProtection="1">
      <alignment horizontal="center" vertical="center" wrapText="1"/>
      <protection locked="0"/>
    </xf>
    <xf numFmtId="0" fontId="269" fillId="0" borderId="0" xfId="271" applyFont="1"/>
    <xf numFmtId="0" fontId="127" fillId="0" borderId="10" xfId="2" applyFont="1" applyFill="1" applyBorder="1" applyAlignment="1">
      <alignment horizontal="left" vertical="center" wrapText="1"/>
    </xf>
    <xf numFmtId="0" fontId="47" fillId="0" borderId="10" xfId="2" applyFont="1" applyFill="1" applyBorder="1" applyAlignment="1">
      <alignment horizontal="center" vertical="center"/>
    </xf>
    <xf numFmtId="0" fontId="47" fillId="0" borderId="9" xfId="2" applyFont="1" applyFill="1" applyBorder="1" applyAlignment="1">
      <alignment horizontal="center" vertical="center"/>
    </xf>
    <xf numFmtId="0" fontId="127" fillId="0" borderId="9" xfId="2" applyFont="1" applyFill="1" applyBorder="1" applyAlignment="1">
      <alignment horizontal="left" vertical="center" wrapText="1"/>
    </xf>
    <xf numFmtId="0" fontId="47" fillId="0" borderId="9" xfId="2" applyFont="1" applyFill="1" applyBorder="1" applyAlignment="1">
      <alignment horizontal="left" vertical="center" wrapText="1"/>
    </xf>
    <xf numFmtId="3" fontId="127" fillId="0" borderId="9" xfId="2" applyNumberFormat="1" applyFont="1" applyFill="1" applyBorder="1" applyAlignment="1">
      <alignment horizontal="center" vertical="center"/>
    </xf>
    <xf numFmtId="0" fontId="47" fillId="0" borderId="9" xfId="2" applyFont="1" applyFill="1" applyBorder="1" applyAlignment="1">
      <alignment horizontal="center" vertical="center" wrapText="1"/>
    </xf>
    <xf numFmtId="0" fontId="47" fillId="0" borderId="10" xfId="2" applyFont="1" applyFill="1" applyBorder="1" applyAlignment="1">
      <alignment horizontal="center" vertical="center" wrapText="1"/>
    </xf>
    <xf numFmtId="0" fontId="47" fillId="0" borderId="10" xfId="2" applyFont="1" applyFill="1" applyBorder="1" applyAlignment="1">
      <alignment vertical="center" wrapText="1"/>
    </xf>
    <xf numFmtId="3" fontId="127" fillId="0" borderId="10" xfId="365" applyNumberFormat="1" applyFont="1" applyFill="1" applyBorder="1" applyAlignment="1">
      <alignment horizontal="center" vertical="center"/>
    </xf>
    <xf numFmtId="0" fontId="47" fillId="0" borderId="5" xfId="2" applyFont="1" applyFill="1" applyBorder="1" applyAlignment="1">
      <alignment horizontal="left" vertical="center" wrapText="1"/>
    </xf>
    <xf numFmtId="0" fontId="47" fillId="0" borderId="10" xfId="2" applyFont="1" applyFill="1" applyBorder="1" applyAlignment="1">
      <alignment horizontal="left" vertical="center" wrapText="1"/>
    </xf>
    <xf numFmtId="3" fontId="127" fillId="0" borderId="10" xfId="2" applyNumberFormat="1" applyFont="1" applyFill="1" applyBorder="1" applyAlignment="1">
      <alignment horizontal="center" vertical="center"/>
    </xf>
    <xf numFmtId="0" fontId="94" fillId="0" borderId="3" xfId="366" applyFont="1" applyBorder="1" applyAlignment="1">
      <alignment horizontal="center"/>
    </xf>
    <xf numFmtId="3" fontId="100" fillId="0" borderId="10" xfId="366" applyNumberFormat="1" applyFont="1" applyFill="1" applyBorder="1" applyAlignment="1">
      <alignment horizontal="center" vertical="center"/>
    </xf>
    <xf numFmtId="0" fontId="102" fillId="0" borderId="2" xfId="366" applyFont="1" applyBorder="1" applyAlignment="1">
      <alignment horizontal="left" vertical="center" wrapText="1"/>
    </xf>
    <xf numFmtId="0" fontId="102" fillId="0" borderId="5" xfId="366" applyFont="1" applyBorder="1" applyAlignment="1">
      <alignment horizontal="left" vertical="center" wrapText="1"/>
    </xf>
    <xf numFmtId="0" fontId="102" fillId="0" borderId="2" xfId="366" applyFont="1" applyBorder="1" applyAlignment="1">
      <alignment vertical="center" wrapText="1"/>
    </xf>
    <xf numFmtId="0" fontId="102" fillId="0" borderId="5" xfId="366" applyFont="1" applyBorder="1" applyAlignment="1">
      <alignment vertical="center" wrapText="1"/>
    </xf>
    <xf numFmtId="0" fontId="156" fillId="0" borderId="10" xfId="271" applyFont="1" applyBorder="1" applyAlignment="1">
      <alignment horizontal="center" vertical="center"/>
    </xf>
    <xf numFmtId="0" fontId="156" fillId="0" borderId="10" xfId="271" applyFont="1" applyBorder="1" applyAlignment="1">
      <alignment horizontal="center" vertical="center" wrapText="1"/>
    </xf>
    <xf numFmtId="0" fontId="41" fillId="2" borderId="10" xfId="271" applyFont="1" applyFill="1" applyBorder="1" applyAlignment="1" applyProtection="1">
      <alignment horizontal="center" vertical="center"/>
      <protection hidden="1"/>
    </xf>
    <xf numFmtId="0" fontId="116" fillId="0" borderId="3" xfId="271" applyFont="1" applyBorder="1" applyAlignment="1">
      <alignment horizontal="center" vertical="center"/>
    </xf>
    <xf numFmtId="0" fontId="116" fillId="0" borderId="10" xfId="271" applyFont="1" applyBorder="1" applyAlignment="1">
      <alignment horizontal="center" vertical="center"/>
    </xf>
    <xf numFmtId="0" fontId="8" fillId="2" borderId="10" xfId="1" applyFont="1" applyFill="1" applyBorder="1" applyAlignment="1">
      <alignment horizontal="center" vertical="center" wrapText="1"/>
    </xf>
    <xf numFmtId="0" fontId="270" fillId="0" borderId="0" xfId="0" applyFont="1" applyAlignment="1">
      <alignment vertical="center"/>
    </xf>
    <xf numFmtId="0" fontId="259" fillId="42" borderId="72" xfId="0" applyFont="1" applyFill="1" applyBorder="1" applyAlignment="1">
      <alignment horizontal="center" vertical="center"/>
    </xf>
    <xf numFmtId="1" fontId="175" fillId="0" borderId="9" xfId="271" applyNumberFormat="1" applyFont="1" applyFill="1" applyBorder="1" applyAlignment="1">
      <alignment horizontal="center" vertical="center" wrapText="1"/>
    </xf>
    <xf numFmtId="1" fontId="175" fillId="0" borderId="10" xfId="271" applyNumberFormat="1" applyFont="1" applyFill="1" applyBorder="1" applyAlignment="1">
      <alignment horizontal="center" vertical="center" wrapText="1"/>
    </xf>
    <xf numFmtId="9" fontId="126" fillId="0" borderId="10" xfId="1" applyNumberFormat="1" applyFont="1" applyBorder="1" applyAlignment="1">
      <alignment horizontal="center" vertical="center"/>
    </xf>
    <xf numFmtId="0" fontId="172" fillId="2" borderId="5" xfId="271" applyFont="1" applyFill="1" applyBorder="1" applyAlignment="1">
      <alignment horizontal="center" vertical="center"/>
    </xf>
    <xf numFmtId="1" fontId="175" fillId="0" borderId="10" xfId="271" applyNumberFormat="1" applyFont="1" applyFill="1" applyBorder="1" applyAlignment="1">
      <alignment horizontal="center" vertical="center" wrapText="1"/>
    </xf>
    <xf numFmtId="0" fontId="174" fillId="0" borderId="10" xfId="271" applyFont="1" applyFill="1" applyBorder="1" applyAlignment="1">
      <alignment horizontal="center" vertical="center" wrapText="1"/>
    </xf>
    <xf numFmtId="0" fontId="8" fillId="0" borderId="10" xfId="298" applyFont="1" applyBorder="1" applyAlignment="1" applyProtection="1">
      <alignment horizontal="center" vertical="center" wrapText="1"/>
      <protection hidden="1"/>
    </xf>
    <xf numFmtId="0" fontId="144" fillId="0" borderId="2" xfId="298" applyFont="1" applyBorder="1" applyAlignment="1">
      <alignment horizontal="center" vertical="center"/>
    </xf>
    <xf numFmtId="0" fontId="8" fillId="0" borderId="10" xfId="298" applyFont="1" applyBorder="1" applyAlignment="1" applyProtection="1">
      <alignment horizontal="center" vertical="center"/>
      <protection hidden="1"/>
    </xf>
    <xf numFmtId="0" fontId="8" fillId="0" borderId="10" xfId="294" applyFont="1" applyBorder="1" applyAlignment="1" applyProtection="1">
      <alignment horizontal="center" vertical="center" wrapText="1"/>
      <protection hidden="1"/>
    </xf>
    <xf numFmtId="0" fontId="8" fillId="0" borderId="10" xfId="294" applyFont="1" applyFill="1" applyBorder="1" applyAlignment="1" applyProtection="1">
      <alignment horizontal="center" vertical="center" wrapText="1"/>
      <protection hidden="1"/>
    </xf>
    <xf numFmtId="0" fontId="12" fillId="0" borderId="10" xfId="0" applyFont="1" applyBorder="1" applyAlignment="1">
      <alignment horizontal="center" vertical="center"/>
    </xf>
    <xf numFmtId="0" fontId="146" fillId="2" borderId="10" xfId="271" applyFont="1" applyFill="1" applyBorder="1" applyAlignment="1">
      <alignment horizontal="center" vertical="center"/>
    </xf>
    <xf numFmtId="0" fontId="146" fillId="0" borderId="3" xfId="271" applyFont="1" applyBorder="1" applyAlignment="1">
      <alignment horizontal="left" vertical="center"/>
    </xf>
    <xf numFmtId="0" fontId="146" fillId="49" borderId="3" xfId="271" applyFont="1" applyFill="1" applyBorder="1" applyAlignment="1">
      <alignment horizontal="left" vertical="center"/>
    </xf>
    <xf numFmtId="0" fontId="12" fillId="49" borderId="3" xfId="271" applyFont="1" applyFill="1" applyBorder="1" applyAlignment="1">
      <alignment horizontal="left" vertical="center" wrapText="1"/>
    </xf>
    <xf numFmtId="0" fontId="8" fillId="0" borderId="0" xfId="271" applyNumberFormat="1" applyFont="1" applyFill="1" applyBorder="1" applyAlignment="1">
      <alignment horizontal="center" vertical="center"/>
    </xf>
    <xf numFmtId="0" fontId="8" fillId="0" borderId="0" xfId="271" applyFont="1" applyFill="1" applyBorder="1" applyAlignment="1">
      <alignment horizontal="center" vertical="center"/>
    </xf>
    <xf numFmtId="0" fontId="3" fillId="0" borderId="0" xfId="271" applyFont="1" applyBorder="1" applyAlignment="1">
      <alignment vertical="center"/>
    </xf>
    <xf numFmtId="4" fontId="8" fillId="0" borderId="0" xfId="271" applyNumberFormat="1" applyFont="1" applyFill="1" applyBorder="1" applyAlignment="1">
      <alignment horizontal="center" vertical="center"/>
    </xf>
    <xf numFmtId="4" fontId="3" fillId="0" borderId="0" xfId="271" applyNumberFormat="1" applyFont="1" applyBorder="1" applyAlignment="1">
      <alignment vertical="center"/>
    </xf>
    <xf numFmtId="0" fontId="3" fillId="0" borderId="90" xfId="271" applyFont="1" applyBorder="1" applyAlignment="1">
      <alignment vertical="center"/>
    </xf>
    <xf numFmtId="0" fontId="5" fillId="0" borderId="0" xfId="374" applyFont="1" applyFill="1" applyBorder="1" applyAlignment="1" applyProtection="1">
      <alignment vertical="center"/>
      <protection hidden="1"/>
    </xf>
    <xf numFmtId="0" fontId="146" fillId="0" borderId="0" xfId="271" applyFont="1" applyFill="1" applyBorder="1" applyAlignment="1">
      <alignment horizontal="center" vertical="center"/>
    </xf>
    <xf numFmtId="0" fontId="3" fillId="0" borderId="0" xfId="271" applyFont="1" applyFill="1" applyBorder="1" applyAlignment="1">
      <alignment vertical="center"/>
    </xf>
    <xf numFmtId="0" fontId="146" fillId="0" borderId="0" xfId="271" applyFont="1" applyFill="1" applyBorder="1" applyAlignment="1">
      <alignment vertical="center"/>
    </xf>
    <xf numFmtId="0" fontId="8" fillId="0" borderId="0" xfId="271" applyNumberFormat="1" applyFont="1" applyFill="1" applyBorder="1" applyAlignment="1">
      <alignment vertical="center"/>
    </xf>
    <xf numFmtId="0" fontId="12" fillId="0" borderId="0" xfId="0" applyFont="1" applyFill="1" applyBorder="1" applyAlignment="1">
      <alignment vertical="center"/>
    </xf>
    <xf numFmtId="4" fontId="146" fillId="0" borderId="0" xfId="271" applyNumberFormat="1" applyFont="1" applyFill="1" applyBorder="1" applyAlignment="1">
      <alignment vertical="center"/>
    </xf>
    <xf numFmtId="3" fontId="8" fillId="0" borderId="34" xfId="271" applyNumberFormat="1" applyFont="1" applyFill="1" applyBorder="1" applyAlignment="1">
      <alignment horizontal="left" vertical="center"/>
    </xf>
    <xf numFmtId="3" fontId="8" fillId="63" borderId="31" xfId="271" applyNumberFormat="1" applyFont="1" applyFill="1" applyBorder="1" applyAlignment="1">
      <alignment horizontal="left" vertical="center"/>
    </xf>
    <xf numFmtId="3" fontId="8" fillId="63" borderId="34" xfId="271" applyNumberFormat="1" applyFont="1" applyFill="1" applyBorder="1" applyAlignment="1">
      <alignment horizontal="left" vertical="center"/>
    </xf>
    <xf numFmtId="3" fontId="8" fillId="0" borderId="13" xfId="271" applyNumberFormat="1" applyFont="1" applyFill="1" applyBorder="1" applyAlignment="1">
      <alignment horizontal="left" vertical="center"/>
    </xf>
    <xf numFmtId="3" fontId="8" fillId="0" borderId="7" xfId="271" applyNumberFormat="1" applyFont="1" applyFill="1" applyBorder="1" applyAlignment="1">
      <alignment horizontal="left" vertical="center"/>
    </xf>
    <xf numFmtId="3" fontId="8" fillId="0" borderId="10" xfId="271" applyNumberFormat="1" applyFont="1" applyFill="1" applyBorder="1" applyAlignment="1">
      <alignment horizontal="left" vertical="center"/>
    </xf>
    <xf numFmtId="3" fontId="8" fillId="63" borderId="10" xfId="271" applyNumberFormat="1" applyFont="1" applyFill="1" applyBorder="1" applyAlignment="1">
      <alignment horizontal="left" vertical="center"/>
    </xf>
    <xf numFmtId="3" fontId="8" fillId="3" borderId="10" xfId="271" applyNumberFormat="1" applyFont="1" applyFill="1" applyBorder="1" applyAlignment="1">
      <alignment horizontal="left" vertical="center"/>
    </xf>
    <xf numFmtId="3" fontId="8" fillId="0" borderId="30" xfId="271" applyNumberFormat="1" applyFont="1" applyFill="1" applyBorder="1" applyAlignment="1">
      <alignment horizontal="left" vertical="center"/>
    </xf>
    <xf numFmtId="3" fontId="8" fillId="63" borderId="13" xfId="271" applyNumberFormat="1" applyFont="1" applyFill="1" applyBorder="1" applyAlignment="1">
      <alignment horizontal="left" vertical="center"/>
    </xf>
    <xf numFmtId="3" fontId="146" fillId="3" borderId="10" xfId="271" applyNumberFormat="1" applyFont="1" applyFill="1" applyBorder="1" applyAlignment="1">
      <alignment horizontal="left" vertical="center"/>
    </xf>
    <xf numFmtId="3" fontId="8" fillId="63" borderId="7" xfId="271" applyNumberFormat="1" applyFont="1" applyFill="1" applyBorder="1" applyAlignment="1">
      <alignment horizontal="left" vertical="center"/>
    </xf>
    <xf numFmtId="3" fontId="8" fillId="63" borderId="9" xfId="271" applyNumberFormat="1" applyFont="1" applyFill="1" applyBorder="1" applyAlignment="1">
      <alignment horizontal="left" vertical="center"/>
    </xf>
    <xf numFmtId="3" fontId="8" fillId="2" borderId="10" xfId="271" applyNumberFormat="1" applyFont="1" applyFill="1" applyBorder="1" applyAlignment="1">
      <alignment horizontal="left" vertical="center"/>
    </xf>
    <xf numFmtId="1" fontId="8" fillId="0" borderId="1" xfId="382" applyNumberFormat="1" applyFont="1" applyFill="1" applyBorder="1" applyAlignment="1">
      <alignment horizontal="right" vertical="center"/>
    </xf>
    <xf numFmtId="0" fontId="136" fillId="0" borderId="10" xfId="362" applyFont="1" applyFill="1" applyBorder="1" applyAlignment="1" applyProtection="1">
      <alignment horizontal="center" vertical="center"/>
    </xf>
    <xf numFmtId="0" fontId="223" fillId="0" borderId="10" xfId="362" applyFont="1" applyFill="1" applyBorder="1" applyAlignment="1" applyProtection="1">
      <alignment horizontal="center" vertical="center"/>
    </xf>
    <xf numFmtId="0" fontId="127" fillId="0" borderId="10" xfId="2" applyFont="1" applyFill="1" applyBorder="1" applyAlignment="1">
      <alignment horizontal="left" vertical="center" wrapText="1"/>
    </xf>
    <xf numFmtId="0" fontId="47" fillId="0" borderId="10" xfId="2" applyFont="1" applyFill="1" applyBorder="1" applyAlignment="1">
      <alignment horizontal="center" vertical="center"/>
    </xf>
    <xf numFmtId="4" fontId="127" fillId="0" borderId="10" xfId="2" applyNumberFormat="1" applyFont="1" applyFill="1" applyBorder="1" applyAlignment="1">
      <alignment horizontal="center" vertical="center"/>
    </xf>
    <xf numFmtId="0" fontId="47" fillId="0" borderId="9" xfId="2" applyFont="1" applyFill="1" applyBorder="1" applyAlignment="1">
      <alignment horizontal="center" vertical="center"/>
    </xf>
    <xf numFmtId="0" fontId="47" fillId="0" borderId="0" xfId="365" applyFont="1" applyAlignment="1">
      <alignment vertical="center" wrapText="1"/>
    </xf>
    <xf numFmtId="1" fontId="8" fillId="0" borderId="44" xfId="372" applyNumberFormat="1" applyFont="1" applyFill="1" applyBorder="1" applyAlignment="1">
      <alignment vertical="center"/>
    </xf>
    <xf numFmtId="4" fontId="273" fillId="0" borderId="10" xfId="2" applyNumberFormat="1" applyFont="1" applyFill="1" applyBorder="1" applyAlignment="1">
      <alignment horizontal="center" vertical="center"/>
    </xf>
    <xf numFmtId="4" fontId="274" fillId="0" borderId="10" xfId="2" applyNumberFormat="1" applyFont="1" applyFill="1" applyBorder="1" applyAlignment="1">
      <alignment horizontal="center" vertical="center"/>
    </xf>
    <xf numFmtId="0" fontId="42" fillId="0" borderId="10" xfId="1" applyFont="1" applyFill="1" applyBorder="1" applyAlignment="1">
      <alignment horizontal="left" vertical="center" wrapText="1"/>
    </xf>
    <xf numFmtId="1" fontId="174" fillId="0" borderId="10" xfId="271" applyNumberFormat="1" applyFont="1" applyFill="1" applyBorder="1" applyAlignment="1">
      <alignment horizontal="center" vertical="center"/>
    </xf>
    <xf numFmtId="1" fontId="175" fillId="0" borderId="10" xfId="271" applyNumberFormat="1" applyFont="1" applyFill="1" applyBorder="1" applyAlignment="1">
      <alignment horizontal="center" vertical="center" wrapText="1"/>
    </xf>
    <xf numFmtId="0" fontId="174" fillId="0" borderId="10" xfId="271" applyFont="1" applyFill="1" applyBorder="1" applyAlignment="1">
      <alignment horizontal="center" vertical="center" wrapText="1"/>
    </xf>
    <xf numFmtId="0" fontId="72" fillId="2" borderId="10" xfId="1" applyFont="1" applyFill="1" applyBorder="1" applyAlignment="1">
      <alignment horizontal="center" vertical="center"/>
    </xf>
    <xf numFmtId="0" fontId="239" fillId="0" borderId="10" xfId="0" applyFont="1" applyFill="1" applyBorder="1" applyAlignment="1">
      <alignment horizontal="center" vertical="center"/>
    </xf>
    <xf numFmtId="0" fontId="239" fillId="0" borderId="10" xfId="1" applyFont="1" applyFill="1" applyBorder="1" applyAlignment="1">
      <alignment horizontal="center" vertical="center"/>
    </xf>
    <xf numFmtId="0" fontId="239" fillId="0" borderId="10" xfId="3" applyNumberFormat="1" applyFont="1" applyFill="1" applyBorder="1" applyAlignment="1">
      <alignment horizontal="center" vertical="center"/>
    </xf>
    <xf numFmtId="0" fontId="46" fillId="2" borderId="10" xfId="0" applyFont="1" applyFill="1" applyBorder="1" applyAlignment="1">
      <alignment horizontal="center" vertical="center"/>
    </xf>
    <xf numFmtId="9" fontId="46" fillId="0" borderId="10" xfId="0" applyNumberFormat="1" applyFont="1" applyFill="1" applyBorder="1" applyAlignment="1">
      <alignment horizontal="center" vertical="center"/>
    </xf>
    <xf numFmtId="3" fontId="144" fillId="0" borderId="44" xfId="281" applyNumberFormat="1" applyFont="1" applyFill="1" applyBorder="1" applyAlignment="1">
      <alignment horizontal="center" vertical="center"/>
    </xf>
    <xf numFmtId="1" fontId="144" fillId="0" borderId="44" xfId="372" applyNumberFormat="1" applyFont="1" applyFill="1" applyBorder="1" applyAlignment="1">
      <alignment horizontal="center" vertical="center"/>
    </xf>
    <xf numFmtId="1" fontId="144" fillId="0" borderId="72" xfId="372" applyNumberFormat="1" applyFont="1" applyFill="1" applyBorder="1" applyAlignment="1">
      <alignment horizontal="center" vertical="center"/>
    </xf>
    <xf numFmtId="3" fontId="8" fillId="0" borderId="44" xfId="281" applyNumberFormat="1" applyFont="1" applyFill="1" applyBorder="1" applyAlignment="1">
      <alignment horizontal="center" vertical="center"/>
    </xf>
    <xf numFmtId="0" fontId="6" fillId="0" borderId="100" xfId="271" applyFont="1" applyBorder="1" applyAlignment="1"/>
    <xf numFmtId="0" fontId="6" fillId="0" borderId="101" xfId="271" applyFont="1" applyBorder="1" applyAlignment="1"/>
    <xf numFmtId="0" fontId="6" fillId="0" borderId="102" xfId="271" applyFont="1" applyBorder="1" applyAlignment="1"/>
    <xf numFmtId="0" fontId="6" fillId="0" borderId="0" xfId="271" applyFont="1" applyBorder="1" applyAlignment="1"/>
    <xf numFmtId="0" fontId="6" fillId="0" borderId="103" xfId="271" applyFont="1" applyBorder="1" applyAlignment="1"/>
    <xf numFmtId="0" fontId="6" fillId="0" borderId="96" xfId="271" applyFont="1" applyBorder="1" applyAlignment="1"/>
    <xf numFmtId="3" fontId="6" fillId="0" borderId="10" xfId="366" applyNumberFormat="1" applyFont="1" applyFill="1" applyBorder="1" applyAlignment="1">
      <alignment horizontal="center" vertical="center"/>
    </xf>
    <xf numFmtId="0" fontId="40" fillId="0" borderId="10" xfId="1" applyFont="1" applyFill="1" applyBorder="1" applyAlignment="1">
      <alignment horizontal="center" vertical="center"/>
    </xf>
    <xf numFmtId="0" fontId="40" fillId="0" borderId="3" xfId="1" applyFont="1" applyFill="1" applyBorder="1" applyAlignment="1">
      <alignment horizontal="center" vertical="center"/>
    </xf>
    <xf numFmtId="0" fontId="47" fillId="0" borderId="3" xfId="2" applyFont="1" applyFill="1" applyBorder="1" applyAlignment="1">
      <alignment horizontal="center" vertical="center"/>
    </xf>
    <xf numFmtId="0" fontId="127" fillId="0" borderId="10" xfId="2" applyFont="1" applyFill="1" applyBorder="1" applyAlignment="1">
      <alignment horizontal="left" vertical="center" wrapText="1"/>
    </xf>
    <xf numFmtId="0" fontId="47" fillId="0" borderId="10" xfId="2" applyFont="1" applyFill="1" applyBorder="1" applyAlignment="1">
      <alignment horizontal="center" vertical="center"/>
    </xf>
    <xf numFmtId="0" fontId="127" fillId="0" borderId="0" xfId="365" applyFont="1" applyAlignment="1">
      <alignment horizontal="left" vertical="center" wrapText="1"/>
    </xf>
    <xf numFmtId="0" fontId="47" fillId="0" borderId="10" xfId="2" applyFont="1" applyFill="1" applyBorder="1" applyAlignment="1">
      <alignment horizontal="left" vertical="center" wrapText="1"/>
    </xf>
    <xf numFmtId="3" fontId="127" fillId="0" borderId="10" xfId="2" applyNumberFormat="1" applyFont="1" applyFill="1" applyBorder="1" applyAlignment="1">
      <alignment horizontal="center" vertical="center"/>
    </xf>
    <xf numFmtId="3" fontId="127" fillId="0" borderId="3" xfId="2" applyNumberFormat="1" applyFont="1" applyFill="1" applyBorder="1" applyAlignment="1">
      <alignment horizontal="center" vertical="center"/>
    </xf>
    <xf numFmtId="0" fontId="8" fillId="0" borderId="10" xfId="298" applyFont="1" applyBorder="1" applyAlignment="1" applyProtection="1">
      <alignment horizontal="center" vertical="center" wrapText="1"/>
      <protection hidden="1"/>
    </xf>
    <xf numFmtId="3" fontId="6" fillId="0" borderId="9" xfId="366" applyNumberFormat="1" applyFont="1" applyFill="1" applyBorder="1" applyAlignment="1">
      <alignment horizontal="center" vertical="center" wrapText="1"/>
    </xf>
    <xf numFmtId="3" fontId="6" fillId="0" borderId="46" xfId="2" applyNumberFormat="1" applyFont="1" applyFill="1" applyBorder="1" applyAlignment="1">
      <alignment horizontal="center" vertical="center" wrapText="1"/>
    </xf>
    <xf numFmtId="4" fontId="6" fillId="0" borderId="9" xfId="366" applyNumberFormat="1" applyFont="1" applyFill="1" applyBorder="1" applyAlignment="1">
      <alignment horizontal="center" vertical="center"/>
    </xf>
    <xf numFmtId="3" fontId="6" fillId="0" borderId="48" xfId="366" applyNumberFormat="1" applyFont="1" applyFill="1" applyBorder="1" applyAlignment="1">
      <alignment horizontal="center" vertical="center" wrapText="1"/>
    </xf>
    <xf numFmtId="3" fontId="6" fillId="0" borderId="7" xfId="366" applyNumberFormat="1" applyFont="1" applyFill="1" applyBorder="1" applyAlignment="1">
      <alignment horizontal="center" vertical="center"/>
    </xf>
    <xf numFmtId="3" fontId="6" fillId="0" borderId="9" xfId="369" applyNumberFormat="1" applyFont="1" applyFill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0" fontId="146" fillId="49" borderId="7" xfId="271" applyFont="1" applyFill="1" applyBorder="1" applyAlignment="1">
      <alignment horizontal="left" vertical="center" wrapText="1"/>
    </xf>
    <xf numFmtId="0" fontId="127" fillId="0" borderId="0" xfId="365" applyFont="1"/>
    <xf numFmtId="0" fontId="127" fillId="0" borderId="0" xfId="365" applyFont="1" applyFill="1"/>
    <xf numFmtId="0" fontId="73" fillId="0" borderId="0" xfId="1" applyFont="1" applyAlignment="1">
      <alignment horizontal="left" vertical="center" wrapText="1"/>
    </xf>
    <xf numFmtId="0" fontId="127" fillId="0" borderId="0" xfId="365" applyFont="1" applyAlignment="1">
      <alignment vertical="top" wrapText="1"/>
    </xf>
    <xf numFmtId="0" fontId="40" fillId="0" borderId="10" xfId="3" applyNumberFormat="1" applyFont="1" applyFill="1" applyBorder="1" applyAlignment="1">
      <alignment horizontal="center" vertical="center"/>
    </xf>
    <xf numFmtId="0" fontId="2" fillId="0" borderId="10" xfId="0" applyFont="1" applyBorder="1" applyAlignment="1">
      <alignment horizontal="left" vertical="center" wrapText="1"/>
    </xf>
    <xf numFmtId="0" fontId="2" fillId="0" borderId="10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/>
    </xf>
    <xf numFmtId="0" fontId="52" fillId="0" borderId="10" xfId="0" applyFont="1" applyBorder="1" applyAlignment="1">
      <alignment horizontal="center" vertical="center" wrapText="1"/>
    </xf>
    <xf numFmtId="0" fontId="71" fillId="2" borderId="10" xfId="271" applyFont="1" applyFill="1" applyBorder="1" applyAlignment="1">
      <alignment horizontal="center" vertical="center"/>
    </xf>
    <xf numFmtId="9" fontId="6" fillId="0" borderId="10" xfId="4" applyFont="1" applyBorder="1" applyAlignment="1">
      <alignment horizontal="center" vertical="center"/>
    </xf>
    <xf numFmtId="14" fontId="8" fillId="0" borderId="0" xfId="382" applyNumberFormat="1" applyFont="1" applyFill="1" applyBorder="1" applyAlignment="1">
      <alignment horizontal="right" vertical="center"/>
    </xf>
    <xf numFmtId="0" fontId="249" fillId="0" borderId="0" xfId="0" applyFont="1"/>
    <xf numFmtId="0" fontId="2" fillId="0" borderId="0" xfId="0" applyFont="1"/>
    <xf numFmtId="0" fontId="276" fillId="0" borderId="0" xfId="0" applyFont="1"/>
    <xf numFmtId="0" fontId="86" fillId="0" borderId="0" xfId="0" applyFont="1"/>
    <xf numFmtId="0" fontId="2" fillId="0" borderId="0" xfId="0" applyFont="1" applyAlignment="1">
      <alignment horizontal="right"/>
    </xf>
    <xf numFmtId="14" fontId="52" fillId="0" borderId="0" xfId="0" applyNumberFormat="1" applyFont="1" applyAlignment="1">
      <alignment horizontal="center"/>
    </xf>
    <xf numFmtId="0" fontId="61" fillId="0" borderId="0" xfId="0" applyFont="1" applyBorder="1" applyAlignment="1">
      <alignment horizontal="center"/>
    </xf>
    <xf numFmtId="0" fontId="61" fillId="0" borderId="0" xfId="0" applyFont="1" applyBorder="1"/>
    <xf numFmtId="0" fontId="2" fillId="0" borderId="0" xfId="0" applyFont="1" applyBorder="1" applyAlignment="1">
      <alignment horizontal="right"/>
    </xf>
    <xf numFmtId="0" fontId="61" fillId="0" borderId="3" xfId="0" applyFont="1" applyBorder="1" applyAlignment="1"/>
    <xf numFmtId="0" fontId="61" fillId="0" borderId="7" xfId="0" applyFont="1" applyBorder="1" applyAlignment="1"/>
    <xf numFmtId="0" fontId="10" fillId="0" borderId="9" xfId="2" applyFont="1" applyBorder="1" applyAlignment="1">
      <alignment horizontal="center" vertical="center"/>
    </xf>
    <xf numFmtId="0" fontId="90" fillId="0" borderId="9" xfId="2" applyFont="1" applyBorder="1" applyAlignment="1">
      <alignment horizontal="center" vertical="center" wrapText="1"/>
    </xf>
    <xf numFmtId="0" fontId="146" fillId="0" borderId="9" xfId="2" applyFont="1" applyBorder="1" applyAlignment="1">
      <alignment horizontal="left" vertical="center" wrapText="1"/>
    </xf>
    <xf numFmtId="0" fontId="10" fillId="0" borderId="10" xfId="2" applyFont="1" applyBorder="1" applyAlignment="1">
      <alignment horizontal="center" vertical="center"/>
    </xf>
    <xf numFmtId="0" fontId="135" fillId="3" borderId="2" xfId="271" applyFont="1" applyFill="1" applyBorder="1" applyAlignment="1">
      <alignment horizontal="center" vertical="center" wrapText="1"/>
    </xf>
    <xf numFmtId="0" fontId="58" fillId="0" borderId="3" xfId="271" applyFont="1" applyBorder="1" applyAlignment="1">
      <alignment horizontal="center" vertical="top" wrapText="1"/>
    </xf>
    <xf numFmtId="0" fontId="58" fillId="0" borderId="7" xfId="271" applyFont="1" applyBorder="1" applyAlignment="1">
      <alignment horizontal="center" vertical="top" wrapText="1"/>
    </xf>
    <xf numFmtId="0" fontId="58" fillId="0" borderId="9" xfId="271" applyFont="1" applyBorder="1" applyAlignment="1">
      <alignment horizontal="center" vertical="top" wrapText="1"/>
    </xf>
    <xf numFmtId="0" fontId="58" fillId="0" borderId="10" xfId="271" applyFont="1" applyBorder="1" applyAlignment="1">
      <alignment horizontal="center" vertical="top" wrapText="1"/>
    </xf>
    <xf numFmtId="0" fontId="135" fillId="0" borderId="7" xfId="271" applyFont="1" applyBorder="1" applyAlignment="1">
      <alignment horizontal="center" vertical="top" wrapText="1"/>
    </xf>
    <xf numFmtId="0" fontId="135" fillId="0" borderId="9" xfId="271" applyFont="1" applyBorder="1" applyAlignment="1">
      <alignment horizontal="center" vertical="top" wrapText="1"/>
    </xf>
    <xf numFmtId="0" fontId="135" fillId="0" borderId="3" xfId="271" applyFont="1" applyBorder="1" applyAlignment="1">
      <alignment horizontal="center" vertical="top" wrapText="1"/>
    </xf>
    <xf numFmtId="0" fontId="134" fillId="0" borderId="10" xfId="271" applyFont="1" applyBorder="1" applyAlignment="1">
      <alignment horizontal="center" vertical="center"/>
    </xf>
    <xf numFmtId="0" fontId="3" fillId="0" borderId="0" xfId="271" applyFont="1" applyBorder="1" applyAlignment="1">
      <alignment horizontal="center"/>
    </xf>
    <xf numFmtId="0" fontId="2" fillId="0" borderId="0" xfId="0" applyFont="1" applyAlignment="1">
      <alignment horizontal="left"/>
    </xf>
    <xf numFmtId="0" fontId="229" fillId="0" borderId="0" xfId="0" applyFont="1"/>
    <xf numFmtId="0" fontId="52" fillId="0" borderId="0" xfId="0" applyFont="1" applyAlignment="1">
      <alignment horizontal="right"/>
    </xf>
    <xf numFmtId="0" fontId="52" fillId="0" borderId="0" xfId="0" applyNumberFormat="1" applyFont="1" applyFill="1" applyBorder="1" applyAlignment="1">
      <alignment horizontal="center" wrapText="1"/>
    </xf>
    <xf numFmtId="0" fontId="61" fillId="0" borderId="0" xfId="0" applyFont="1" applyAlignment="1"/>
    <xf numFmtId="0" fontId="276" fillId="0" borderId="10" xfId="0" applyFont="1" applyFill="1" applyBorder="1" applyAlignment="1" applyProtection="1">
      <alignment horizontal="center" vertical="center" wrapText="1"/>
      <protection hidden="1"/>
    </xf>
    <xf numFmtId="1" fontId="276" fillId="0" borderId="10" xfId="0" applyNumberFormat="1" applyFont="1" applyFill="1" applyBorder="1" applyAlignment="1" applyProtection="1">
      <alignment horizontal="center" vertical="center" wrapText="1"/>
      <protection hidden="1"/>
    </xf>
    <xf numFmtId="0" fontId="276" fillId="0" borderId="10" xfId="0" applyFont="1" applyFill="1" applyBorder="1" applyAlignment="1">
      <alignment horizontal="left" vertical="center" wrapText="1"/>
    </xf>
    <xf numFmtId="3" fontId="276" fillId="0" borderId="10" xfId="0" applyNumberFormat="1" applyFont="1" applyBorder="1" applyAlignment="1">
      <alignment horizontal="center" vertical="center" wrapText="1"/>
    </xf>
    <xf numFmtId="3" fontId="279" fillId="0" borderId="10" xfId="0" applyNumberFormat="1" applyFont="1" applyBorder="1" applyAlignment="1">
      <alignment horizontal="center" vertical="center" wrapText="1"/>
    </xf>
    <xf numFmtId="3" fontId="276" fillId="0" borderId="10" xfId="0" applyNumberFormat="1" applyFont="1" applyFill="1" applyBorder="1" applyAlignment="1" applyProtection="1">
      <alignment horizontal="center" vertical="center" wrapText="1"/>
      <protection hidden="1"/>
    </xf>
    <xf numFmtId="3" fontId="276" fillId="0" borderId="10" xfId="0" applyNumberFormat="1" applyFont="1" applyFill="1" applyBorder="1" applyAlignment="1">
      <alignment horizontal="center" vertical="center"/>
    </xf>
    <xf numFmtId="1" fontId="276" fillId="0" borderId="10" xfId="0" applyNumberFormat="1" applyFont="1" applyFill="1" applyBorder="1" applyAlignment="1">
      <alignment horizontal="center" vertical="center"/>
    </xf>
    <xf numFmtId="0" fontId="245" fillId="62" borderId="10" xfId="0" applyFont="1" applyFill="1" applyBorder="1" applyAlignment="1">
      <alignment horizontal="center" vertical="center" textRotation="90" wrapText="1"/>
    </xf>
    <xf numFmtId="0" fontId="276" fillId="0" borderId="10" xfId="0" applyFont="1" applyBorder="1" applyAlignment="1">
      <alignment horizontal="left" vertical="center" wrapText="1"/>
    </xf>
    <xf numFmtId="0" fontId="86" fillId="0" borderId="10" xfId="0" applyFont="1" applyFill="1" applyBorder="1" applyAlignment="1">
      <alignment horizontal="center" vertical="center" wrapText="1"/>
    </xf>
    <xf numFmtId="0" fontId="86" fillId="0" borderId="10" xfId="0" applyFont="1" applyFill="1" applyBorder="1" applyAlignment="1">
      <alignment horizontal="left" vertical="center" wrapText="1"/>
    </xf>
    <xf numFmtId="0" fontId="280" fillId="0" borderId="10" xfId="0" applyFont="1" applyFill="1" applyBorder="1" applyAlignment="1">
      <alignment horizontal="center" vertical="center" wrapText="1"/>
    </xf>
    <xf numFmtId="0" fontId="86" fillId="0" borderId="10" xfId="0" applyFont="1" applyBorder="1" applyAlignment="1">
      <alignment horizontal="center" vertical="center" wrapText="1"/>
    </xf>
    <xf numFmtId="0" fontId="86" fillId="0" borderId="10" xfId="0" applyFont="1" applyFill="1" applyBorder="1" applyAlignment="1">
      <alignment horizontal="center" vertical="center"/>
    </xf>
    <xf numFmtId="175" fontId="86" fillId="0" borderId="10" xfId="0" applyNumberFormat="1" applyFont="1" applyFill="1" applyBorder="1" applyAlignment="1">
      <alignment horizontal="center" vertical="center"/>
    </xf>
    <xf numFmtId="2" fontId="86" fillId="0" borderId="10" xfId="0" applyNumberFormat="1" applyFont="1" applyFill="1" applyBorder="1" applyAlignment="1">
      <alignment horizontal="center" vertical="center" wrapText="1"/>
    </xf>
    <xf numFmtId="2" fontId="280" fillId="0" borderId="10" xfId="0" applyNumberFormat="1" applyFont="1" applyFill="1" applyBorder="1" applyAlignment="1">
      <alignment horizontal="center" vertical="center" wrapText="1"/>
    </xf>
    <xf numFmtId="0" fontId="280" fillId="53" borderId="10" xfId="0" applyFont="1" applyFill="1" applyBorder="1" applyAlignment="1">
      <alignment horizontal="center" vertical="center"/>
    </xf>
    <xf numFmtId="0" fontId="280" fillId="0" borderId="10" xfId="0" applyFont="1" applyFill="1" applyBorder="1" applyAlignment="1">
      <alignment horizontal="center" vertical="center"/>
    </xf>
    <xf numFmtId="0" fontId="280" fillId="0" borderId="10" xfId="0" applyNumberFormat="1" applyFont="1" applyFill="1" applyBorder="1" applyAlignment="1">
      <alignment horizontal="center" vertical="center"/>
    </xf>
    <xf numFmtId="178" fontId="280" fillId="0" borderId="10" xfId="0" applyNumberFormat="1" applyFont="1" applyFill="1" applyBorder="1" applyAlignment="1">
      <alignment horizontal="center" vertical="center"/>
    </xf>
    <xf numFmtId="2" fontId="280" fillId="0" borderId="10" xfId="0" applyNumberFormat="1" applyFont="1" applyFill="1" applyBorder="1" applyAlignment="1">
      <alignment horizontal="center" vertical="center"/>
    </xf>
    <xf numFmtId="0" fontId="280" fillId="53" borderId="10" xfId="0" applyNumberFormat="1" applyFont="1" applyFill="1" applyBorder="1" applyAlignment="1">
      <alignment horizontal="center" vertical="center"/>
    </xf>
    <xf numFmtId="178" fontId="280" fillId="53" borderId="10" xfId="0" applyNumberFormat="1" applyFont="1" applyFill="1" applyBorder="1" applyAlignment="1">
      <alignment horizontal="center" vertical="center"/>
    </xf>
    <xf numFmtId="2" fontId="280" fillId="53" borderId="10" xfId="0" applyNumberFormat="1" applyFont="1" applyFill="1" applyBorder="1" applyAlignment="1">
      <alignment horizontal="center" vertical="center"/>
    </xf>
    <xf numFmtId="0" fontId="279" fillId="42" borderId="10" xfId="0" applyFont="1" applyFill="1" applyBorder="1" applyAlignment="1" applyProtection="1">
      <alignment horizontal="center" vertical="center" wrapText="1"/>
      <protection hidden="1"/>
    </xf>
    <xf numFmtId="0" fontId="279" fillId="42" borderId="10" xfId="0" applyFont="1" applyFill="1" applyBorder="1" applyAlignment="1">
      <alignment horizontal="center"/>
    </xf>
    <xf numFmtId="0" fontId="276" fillId="2" borderId="10" xfId="0" applyFont="1" applyFill="1" applyBorder="1" applyAlignment="1">
      <alignment horizontal="center" vertical="center"/>
    </xf>
    <xf numFmtId="0" fontId="279" fillId="0" borderId="3" xfId="0" applyNumberFormat="1" applyFont="1" applyBorder="1" applyAlignment="1">
      <alignment horizontal="center" vertical="center" wrapText="1"/>
    </xf>
    <xf numFmtId="3" fontId="279" fillId="0" borderId="3" xfId="0" applyNumberFormat="1" applyFont="1" applyBorder="1" applyAlignment="1">
      <alignment horizontal="center" vertical="center" wrapText="1"/>
    </xf>
    <xf numFmtId="0" fontId="279" fillId="0" borderId="10" xfId="0" applyNumberFormat="1" applyFont="1" applyBorder="1" applyAlignment="1">
      <alignment horizontal="center" vertical="center" wrapText="1"/>
    </xf>
    <xf numFmtId="0" fontId="86" fillId="0" borderId="0" xfId="0" applyFont="1" applyAlignment="1">
      <alignment horizontal="right"/>
    </xf>
    <xf numFmtId="0" fontId="249" fillId="0" borderId="0" xfId="0" applyFont="1" applyFill="1" applyBorder="1" applyAlignment="1">
      <alignment vertical="center"/>
    </xf>
    <xf numFmtId="0" fontId="7" fillId="3" borderId="10" xfId="2" applyFont="1" applyFill="1" applyBorder="1" applyAlignment="1">
      <alignment horizontal="center" vertical="center"/>
    </xf>
    <xf numFmtId="14" fontId="10" fillId="0" borderId="0" xfId="2" applyNumberFormat="1" applyFont="1" applyAlignment="1">
      <alignment horizontal="left"/>
    </xf>
    <xf numFmtId="1" fontId="134" fillId="0" borderId="0" xfId="362" applyNumberFormat="1" applyFont="1" applyFill="1" applyBorder="1" applyAlignment="1" applyProtection="1">
      <alignment horizontal="right" vertical="center" wrapText="1"/>
    </xf>
    <xf numFmtId="9" fontId="59" fillId="0" borderId="0" xfId="4" applyFont="1" applyFill="1" applyBorder="1" applyAlignment="1">
      <alignment horizontal="left" vertical="center"/>
    </xf>
    <xf numFmtId="14" fontId="59" fillId="0" borderId="0" xfId="4" applyNumberFormat="1" applyFont="1" applyFill="1" applyBorder="1" applyAlignment="1">
      <alignment horizontal="left" vertical="center"/>
    </xf>
    <xf numFmtId="0" fontId="52" fillId="52" borderId="10" xfId="0" applyFont="1" applyFill="1" applyBorder="1" applyAlignment="1">
      <alignment horizontal="center" vertical="center" wrapText="1"/>
    </xf>
    <xf numFmtId="0" fontId="41" fillId="2" borderId="26" xfId="2" applyFont="1" applyFill="1" applyBorder="1" applyAlignment="1" applyProtection="1">
      <alignment horizontal="center" vertical="center"/>
      <protection hidden="1"/>
    </xf>
    <xf numFmtId="0" fontId="41" fillId="2" borderId="27" xfId="2" applyFont="1" applyFill="1" applyBorder="1" applyAlignment="1" applyProtection="1">
      <alignment horizontal="center" vertical="center"/>
      <protection hidden="1"/>
    </xf>
    <xf numFmtId="0" fontId="41" fillId="2" borderId="28" xfId="2" applyFont="1" applyFill="1" applyBorder="1" applyAlignment="1" applyProtection="1">
      <alignment horizontal="center" vertical="center"/>
      <protection hidden="1"/>
    </xf>
    <xf numFmtId="0" fontId="135" fillId="0" borderId="10" xfId="271" applyFont="1" applyBorder="1" applyAlignment="1">
      <alignment horizontal="center" vertical="center"/>
    </xf>
    <xf numFmtId="0" fontId="134" fillId="0" borderId="3" xfId="271" applyFont="1" applyBorder="1" applyAlignment="1">
      <alignment horizontal="center" vertical="center"/>
    </xf>
    <xf numFmtId="0" fontId="134" fillId="0" borderId="0" xfId="271" applyFont="1" applyBorder="1" applyAlignment="1">
      <alignment horizontal="center" vertical="center"/>
    </xf>
    <xf numFmtId="0" fontId="135" fillId="0" borderId="12" xfId="271" applyFont="1" applyBorder="1" applyAlignment="1">
      <alignment horizontal="center" vertical="center"/>
    </xf>
    <xf numFmtId="0" fontId="134" fillId="0" borderId="12" xfId="271" applyFont="1" applyBorder="1" applyAlignment="1">
      <alignment horizontal="center" vertical="center"/>
    </xf>
    <xf numFmtId="0" fontId="134" fillId="0" borderId="12" xfId="271" applyFont="1" applyBorder="1" applyAlignment="1">
      <alignment horizontal="center" vertical="center" wrapText="1"/>
    </xf>
    <xf numFmtId="9" fontId="59" fillId="0" borderId="12" xfId="4" applyFont="1" applyFill="1" applyBorder="1" applyAlignment="1">
      <alignment horizontal="center" vertical="center"/>
    </xf>
    <xf numFmtId="1" fontId="135" fillId="0" borderId="4" xfId="362" applyNumberFormat="1" applyFont="1" applyFill="1" applyBorder="1" applyAlignment="1" applyProtection="1">
      <alignment horizontal="center" vertical="center" wrapText="1"/>
    </xf>
    <xf numFmtId="1" fontId="134" fillId="0" borderId="4" xfId="362" applyNumberFormat="1" applyFont="1" applyFill="1" applyBorder="1" applyAlignment="1" applyProtection="1">
      <alignment horizontal="center" vertical="center" wrapText="1"/>
    </xf>
    <xf numFmtId="0" fontId="2" fillId="0" borderId="4" xfId="271" applyBorder="1" applyAlignment="1">
      <alignment horizontal="center"/>
    </xf>
    <xf numFmtId="0" fontId="59" fillId="0" borderId="4" xfId="271" applyFont="1" applyBorder="1" applyAlignment="1">
      <alignment horizontal="center" vertical="center"/>
    </xf>
    <xf numFmtId="0" fontId="41" fillId="64" borderId="4" xfId="0" applyFont="1" applyFill="1" applyBorder="1" applyAlignment="1">
      <alignment vertical="center" wrapText="1"/>
    </xf>
    <xf numFmtId="0" fontId="282" fillId="64" borderId="10" xfId="0" applyFont="1" applyFill="1" applyBorder="1" applyAlignment="1">
      <alignment horizontal="center" vertical="center" wrapText="1"/>
    </xf>
    <xf numFmtId="0" fontId="41" fillId="64" borderId="10" xfId="0" applyFont="1" applyFill="1" applyBorder="1" applyAlignment="1">
      <alignment horizontal="center" vertical="center"/>
    </xf>
    <xf numFmtId="0" fontId="112" fillId="0" borderId="10" xfId="0" applyFont="1" applyBorder="1" applyAlignment="1">
      <alignment vertical="center" wrapText="1"/>
    </xf>
    <xf numFmtId="0" fontId="41" fillId="0" borderId="0" xfId="0" applyFont="1" applyFill="1" applyBorder="1" applyAlignment="1">
      <alignment vertical="center" wrapText="1"/>
    </xf>
    <xf numFmtId="0" fontId="2" fillId="0" borderId="0" xfId="271" applyFill="1" applyBorder="1"/>
    <xf numFmtId="0" fontId="282" fillId="0" borderId="0" xfId="0" applyFont="1" applyFill="1" applyBorder="1" applyAlignment="1">
      <alignment vertical="center" wrapText="1"/>
    </xf>
    <xf numFmtId="0" fontId="6" fillId="0" borderId="0" xfId="271" applyFont="1" applyFill="1" applyBorder="1"/>
    <xf numFmtId="0" fontId="58" fillId="4" borderId="10" xfId="1" applyFont="1" applyFill="1" applyBorder="1" applyAlignment="1">
      <alignment horizontal="center" vertical="center" wrapText="1"/>
    </xf>
    <xf numFmtId="0" fontId="79" fillId="0" borderId="0" xfId="0" applyFont="1" applyBorder="1" applyAlignment="1">
      <alignment horizontal="center"/>
    </xf>
    <xf numFmtId="0" fontId="239" fillId="0" borderId="0" xfId="1" applyFont="1" applyFill="1" applyBorder="1" applyAlignment="1">
      <alignment horizontal="center" vertical="center"/>
    </xf>
    <xf numFmtId="0" fontId="40" fillId="0" borderId="0" xfId="1" applyFont="1" applyBorder="1" applyAlignment="1">
      <alignment horizontal="left" vertical="center"/>
    </xf>
    <xf numFmtId="9" fontId="10" fillId="0" borderId="5" xfId="1" applyNumberFormat="1" applyFont="1" applyBorder="1" applyAlignment="1">
      <alignment horizontal="center" vertical="center"/>
    </xf>
    <xf numFmtId="0" fontId="48" fillId="0" borderId="0" xfId="364" applyFont="1" applyFill="1" applyBorder="1" applyAlignment="1">
      <alignment horizontal="center"/>
    </xf>
    <xf numFmtId="0" fontId="42" fillId="3" borderId="10" xfId="1" applyFont="1" applyFill="1" applyBorder="1" applyAlignment="1">
      <alignment horizontal="center" vertical="center"/>
    </xf>
    <xf numFmtId="0" fontId="40" fillId="0" borderId="10" xfId="1" applyFont="1" applyFill="1" applyBorder="1" applyAlignment="1">
      <alignment horizontal="center" vertical="center"/>
    </xf>
    <xf numFmtId="0" fontId="40" fillId="0" borderId="3" xfId="1" applyFont="1" applyFill="1" applyBorder="1" applyAlignment="1">
      <alignment horizontal="center" vertical="center"/>
    </xf>
    <xf numFmtId="0" fontId="3" fillId="0" borderId="10" xfId="2" applyFont="1" applyBorder="1" applyAlignment="1" applyProtection="1">
      <alignment horizontal="center" vertical="center" wrapText="1"/>
      <protection hidden="1"/>
    </xf>
    <xf numFmtId="0" fontId="7" fillId="3" borderId="5" xfId="2" applyFont="1" applyFill="1" applyBorder="1" applyAlignment="1" applyProtection="1">
      <alignment horizontal="center" vertical="center"/>
      <protection locked="0"/>
    </xf>
    <xf numFmtId="0" fontId="7" fillId="3" borderId="2" xfId="2" applyFont="1" applyFill="1" applyBorder="1" applyAlignment="1" applyProtection="1">
      <alignment horizontal="center" vertical="center"/>
      <protection locked="0"/>
    </xf>
    <xf numFmtId="0" fontId="7" fillId="3" borderId="10" xfId="2" applyFont="1" applyFill="1" applyBorder="1" applyAlignment="1" applyProtection="1">
      <alignment horizontal="center" vertical="center" wrapText="1"/>
      <protection locked="0"/>
    </xf>
    <xf numFmtId="1" fontId="3" fillId="0" borderId="10" xfId="2" applyNumberFormat="1" applyFont="1" applyFill="1" applyBorder="1" applyAlignment="1" applyProtection="1">
      <alignment horizontal="center"/>
      <protection hidden="1"/>
    </xf>
    <xf numFmtId="9" fontId="63" fillId="0" borderId="10" xfId="1" applyNumberFormat="1" applyFont="1" applyBorder="1" applyAlignment="1" applyProtection="1">
      <alignment horizontal="center" vertical="center"/>
      <protection locked="0"/>
    </xf>
    <xf numFmtId="0" fontId="7" fillId="3" borderId="4" xfId="2" applyFont="1" applyFill="1" applyBorder="1" applyAlignment="1">
      <alignment horizontal="center" vertical="center"/>
    </xf>
    <xf numFmtId="0" fontId="265" fillId="57" borderId="9" xfId="0" applyFont="1" applyFill="1" applyBorder="1" applyAlignment="1">
      <alignment horizontal="center" vertical="center"/>
    </xf>
    <xf numFmtId="1" fontId="242" fillId="57" borderId="9" xfId="271" applyNumberFormat="1" applyFont="1" applyFill="1" applyBorder="1" applyAlignment="1" applyProtection="1">
      <alignment horizontal="center" vertical="center"/>
    </xf>
    <xf numFmtId="0" fontId="10" fillId="0" borderId="4" xfId="1" applyFont="1" applyBorder="1" applyAlignment="1">
      <alignment vertical="center"/>
    </xf>
    <xf numFmtId="0" fontId="10" fillId="0" borderId="5" xfId="1" applyFont="1" applyBorder="1" applyAlignment="1">
      <alignment vertical="center"/>
    </xf>
    <xf numFmtId="3" fontId="40" fillId="0" borderId="11" xfId="1" applyNumberFormat="1" applyFont="1" applyFill="1" applyBorder="1" applyAlignment="1">
      <alignment horizontal="center" vertical="center" wrapText="1"/>
    </xf>
    <xf numFmtId="0" fontId="8" fillId="0" borderId="3" xfId="298" applyFont="1" applyBorder="1" applyAlignment="1" applyProtection="1">
      <alignment horizontal="center" vertical="center" wrapText="1"/>
      <protection hidden="1"/>
    </xf>
    <xf numFmtId="0" fontId="40" fillId="0" borderId="0" xfId="1" applyFont="1" applyFill="1" applyBorder="1" applyAlignment="1">
      <alignment horizontal="center" vertical="center"/>
    </xf>
    <xf numFmtId="1" fontId="3" fillId="0" borderId="36" xfId="2" applyNumberFormat="1" applyFont="1" applyFill="1" applyBorder="1" applyAlignment="1" applyProtection="1">
      <alignment horizontal="center"/>
      <protection hidden="1"/>
    </xf>
    <xf numFmtId="0" fontId="160" fillId="50" borderId="10" xfId="0" applyFont="1" applyFill="1" applyBorder="1" applyAlignment="1">
      <alignment horizontal="center" vertical="center" wrapText="1"/>
    </xf>
    <xf numFmtId="0" fontId="7" fillId="2" borderId="11" xfId="280" applyFont="1" applyFill="1" applyBorder="1" applyAlignment="1" applyProtection="1">
      <alignment horizontal="center" vertical="center"/>
      <protection locked="0"/>
    </xf>
    <xf numFmtId="0" fontId="40" fillId="0" borderId="10" xfId="1" applyNumberFormat="1" applyFont="1" applyFill="1" applyBorder="1" applyAlignment="1">
      <alignment horizontal="center" vertical="center"/>
    </xf>
    <xf numFmtId="0" fontId="2" fillId="0" borderId="8" xfId="271" applyBorder="1" applyAlignment="1"/>
    <xf numFmtId="0" fontId="2" fillId="0" borderId="12" xfId="271" applyBorder="1" applyAlignment="1"/>
    <xf numFmtId="0" fontId="2" fillId="0" borderId="11" xfId="271" applyBorder="1" applyAlignment="1"/>
    <xf numFmtId="0" fontId="2" fillId="0" borderId="6" xfId="271" applyBorder="1" applyAlignment="1"/>
    <xf numFmtId="0" fontId="2" fillId="0" borderId="0" xfId="271" applyBorder="1" applyAlignment="1"/>
    <xf numFmtId="0" fontId="2" fillId="0" borderId="14" xfId="271" applyBorder="1" applyAlignment="1"/>
    <xf numFmtId="0" fontId="2" fillId="0" borderId="15" xfId="271" applyBorder="1" applyAlignment="1"/>
    <xf numFmtId="0" fontId="2" fillId="0" borderId="1" xfId="271" applyBorder="1" applyAlignment="1"/>
    <xf numFmtId="0" fontId="2" fillId="0" borderId="16" xfId="271" applyBorder="1" applyAlignment="1"/>
    <xf numFmtId="0" fontId="127" fillId="0" borderId="10" xfId="2" applyFont="1" applyFill="1" applyBorder="1" applyAlignment="1">
      <alignment horizontal="left" vertical="center" wrapText="1"/>
    </xf>
    <xf numFmtId="0" fontId="47" fillId="0" borderId="10" xfId="2" applyFont="1" applyFill="1" applyBorder="1" applyAlignment="1">
      <alignment horizontal="center" vertical="center"/>
    </xf>
    <xf numFmtId="0" fontId="47" fillId="0" borderId="10" xfId="2" applyFont="1" applyFill="1" applyBorder="1" applyAlignment="1">
      <alignment horizontal="center" vertical="center" wrapText="1"/>
    </xf>
    <xf numFmtId="0" fontId="47" fillId="0" borderId="10" xfId="2" applyFont="1" applyFill="1" applyBorder="1" applyAlignment="1">
      <alignment vertical="center" wrapText="1"/>
    </xf>
    <xf numFmtId="0" fontId="47" fillId="0" borderId="10" xfId="2" applyFont="1" applyFill="1" applyBorder="1" applyAlignment="1">
      <alignment horizontal="left" vertical="center" wrapText="1"/>
    </xf>
    <xf numFmtId="3" fontId="127" fillId="0" borderId="10" xfId="2" applyNumberFormat="1" applyFont="1" applyFill="1" applyBorder="1" applyAlignment="1">
      <alignment horizontal="center" vertical="center"/>
    </xf>
    <xf numFmtId="0" fontId="8" fillId="3" borderId="10" xfId="1" applyFont="1" applyFill="1" applyBorder="1" applyAlignment="1">
      <alignment horizontal="center" vertical="center" wrapText="1"/>
    </xf>
    <xf numFmtId="0" fontId="8" fillId="0" borderId="7" xfId="298" applyNumberFormat="1" applyFont="1" applyBorder="1" applyAlignment="1" applyProtection="1">
      <alignment horizontal="center" vertical="center" wrapText="1"/>
      <protection hidden="1"/>
    </xf>
    <xf numFmtId="0" fontId="40" fillId="57" borderId="10" xfId="3" applyNumberFormat="1" applyFont="1" applyFill="1" applyBorder="1" applyAlignment="1">
      <alignment horizontal="center" vertical="center"/>
    </xf>
    <xf numFmtId="0" fontId="174" fillId="0" borderId="10" xfId="271" applyFont="1" applyFill="1" applyBorder="1" applyAlignment="1">
      <alignment horizontal="center" vertical="center"/>
    </xf>
    <xf numFmtId="1" fontId="242" fillId="0" borderId="10" xfId="271" applyNumberFormat="1" applyFont="1" applyFill="1" applyBorder="1" applyAlignment="1" applyProtection="1">
      <alignment horizontal="center" vertical="center"/>
    </xf>
    <xf numFmtId="1" fontId="242" fillId="0" borderId="9" xfId="271" applyNumberFormat="1" applyFont="1" applyFill="1" applyBorder="1" applyAlignment="1" applyProtection="1">
      <alignment horizontal="center" vertical="center"/>
    </xf>
    <xf numFmtId="1" fontId="242" fillId="0" borderId="10" xfId="373" applyNumberFormat="1" applyFont="1" applyFill="1" applyBorder="1" applyAlignment="1" applyProtection="1">
      <alignment horizontal="center" vertical="center"/>
    </xf>
    <xf numFmtId="0" fontId="6" fillId="0" borderId="10" xfId="1" applyFont="1" applyBorder="1" applyAlignment="1">
      <alignment vertical="center"/>
    </xf>
    <xf numFmtId="3" fontId="81" fillId="0" borderId="10" xfId="366" applyNumberFormat="1" applyFont="1" applyFill="1" applyBorder="1" applyAlignment="1">
      <alignment horizontal="center" vertical="center"/>
    </xf>
    <xf numFmtId="0" fontId="81" fillId="0" borderId="10" xfId="366" applyFont="1" applyFill="1" applyBorder="1" applyAlignment="1">
      <alignment horizontal="center" vertical="center"/>
    </xf>
    <xf numFmtId="0" fontId="265" fillId="0" borderId="9" xfId="0" applyFont="1" applyFill="1" applyBorder="1" applyAlignment="1">
      <alignment horizontal="center" vertical="center"/>
    </xf>
    <xf numFmtId="1" fontId="242" fillId="57" borderId="10" xfId="271" applyNumberFormat="1" applyFont="1" applyFill="1" applyBorder="1" applyAlignment="1" applyProtection="1">
      <alignment horizontal="center" vertical="center"/>
    </xf>
    <xf numFmtId="1" fontId="242" fillId="57" borderId="9" xfId="373" applyNumberFormat="1" applyFont="1" applyFill="1" applyBorder="1" applyAlignment="1" applyProtection="1">
      <alignment horizontal="center" vertical="center"/>
    </xf>
    <xf numFmtId="1" fontId="174" fillId="57" borderId="10" xfId="271" applyNumberFormat="1" applyFont="1" applyFill="1" applyBorder="1" applyAlignment="1">
      <alignment horizontal="center" vertical="center"/>
    </xf>
    <xf numFmtId="0" fontId="2" fillId="0" borderId="2" xfId="362" applyFont="1" applyBorder="1" applyAlignment="1" applyProtection="1">
      <alignment horizontal="center"/>
    </xf>
    <xf numFmtId="0" fontId="2" fillId="0" borderId="4" xfId="362" applyFont="1" applyBorder="1" applyAlignment="1" applyProtection="1">
      <alignment horizontal="center"/>
    </xf>
    <xf numFmtId="0" fontId="2" fillId="0" borderId="5" xfId="362" applyFont="1" applyBorder="1" applyAlignment="1" applyProtection="1">
      <alignment horizontal="center"/>
    </xf>
    <xf numFmtId="0" fontId="2" fillId="0" borderId="2" xfId="362" applyFont="1" applyBorder="1" applyAlignment="1" applyProtection="1">
      <alignment horizontal="center" vertical="center"/>
    </xf>
    <xf numFmtId="0" fontId="2" fillId="0" borderId="4" xfId="362" applyFont="1" applyBorder="1" applyAlignment="1" applyProtection="1">
      <alignment horizontal="center" vertical="center"/>
    </xf>
    <xf numFmtId="0" fontId="2" fillId="0" borderId="5" xfId="362" applyFont="1" applyBorder="1" applyAlignment="1" applyProtection="1">
      <alignment horizontal="center" vertical="center"/>
    </xf>
    <xf numFmtId="0" fontId="2" fillId="0" borderId="2" xfId="362" applyFont="1" applyFill="1" applyBorder="1" applyAlignment="1" applyProtection="1">
      <alignment horizontal="center" vertical="center"/>
    </xf>
    <xf numFmtId="0" fontId="2" fillId="0" borderId="4" xfId="362" applyFont="1" applyFill="1" applyBorder="1" applyAlignment="1" applyProtection="1">
      <alignment horizontal="center" vertical="center"/>
    </xf>
    <xf numFmtId="0" fontId="2" fillId="0" borderId="5" xfId="362" applyFont="1" applyFill="1" applyBorder="1" applyAlignment="1" applyProtection="1">
      <alignment horizontal="center" vertical="center"/>
    </xf>
    <xf numFmtId="0" fontId="272" fillId="55" borderId="10" xfId="271" applyFont="1" applyFill="1" applyBorder="1" applyAlignment="1">
      <alignment horizontal="center" vertical="center" wrapText="1"/>
    </xf>
    <xf numFmtId="0" fontId="136" fillId="0" borderId="2" xfId="362" applyFont="1" applyFill="1" applyBorder="1" applyAlignment="1" applyProtection="1">
      <alignment horizontal="center" vertical="center"/>
    </xf>
    <xf numFmtId="0" fontId="136" fillId="0" borderId="4" xfId="362" applyFont="1" applyFill="1" applyBorder="1" applyAlignment="1" applyProtection="1">
      <alignment horizontal="center" vertical="center"/>
    </xf>
    <xf numFmtId="0" fontId="136" fillId="0" borderId="5" xfId="362" applyFont="1" applyFill="1" applyBorder="1" applyAlignment="1" applyProtection="1">
      <alignment horizontal="center" vertical="center"/>
    </xf>
    <xf numFmtId="0" fontId="73" fillId="55" borderId="10" xfId="271" applyFont="1" applyFill="1" applyBorder="1" applyAlignment="1">
      <alignment horizontal="center" vertical="center"/>
    </xf>
    <xf numFmtId="0" fontId="2" fillId="0" borderId="10" xfId="362" applyFont="1" applyFill="1" applyBorder="1" applyAlignment="1" applyProtection="1">
      <alignment horizontal="center" vertical="center"/>
    </xf>
    <xf numFmtId="0" fontId="169" fillId="0" borderId="0" xfId="0" applyFont="1" applyAlignment="1">
      <alignment horizontal="center"/>
    </xf>
    <xf numFmtId="0" fontId="46" fillId="0" borderId="10" xfId="0" applyFont="1" applyFill="1" applyBorder="1" applyAlignment="1">
      <alignment horizontal="center" vertical="center"/>
    </xf>
    <xf numFmtId="0" fontId="79" fillId="3" borderId="10" xfId="0" applyFont="1" applyFill="1" applyBorder="1" applyAlignment="1">
      <alignment horizontal="center" vertical="center" wrapText="1"/>
    </xf>
    <xf numFmtId="0" fontId="239" fillId="0" borderId="10" xfId="0" applyFont="1" applyFill="1" applyBorder="1" applyAlignment="1">
      <alignment horizontal="center" vertical="center"/>
    </xf>
    <xf numFmtId="0" fontId="57" fillId="2" borderId="10" xfId="1" applyFont="1" applyFill="1" applyBorder="1" applyAlignment="1">
      <alignment horizontal="center" vertical="center"/>
    </xf>
    <xf numFmtId="0" fontId="57" fillId="0" borderId="10" xfId="1" applyFont="1" applyFill="1" applyBorder="1" applyAlignment="1">
      <alignment vertical="center"/>
    </xf>
    <xf numFmtId="0" fontId="7" fillId="0" borderId="0" xfId="0" applyFont="1" applyBorder="1" applyAlignment="1">
      <alignment horizontal="center" vertical="center"/>
    </xf>
    <xf numFmtId="0" fontId="57" fillId="0" borderId="10" xfId="1" applyFont="1" applyFill="1" applyBorder="1" applyAlignment="1">
      <alignment horizontal="center" vertical="center" wrapText="1"/>
    </xf>
    <xf numFmtId="0" fontId="46" fillId="2" borderId="10" xfId="0" applyFont="1" applyFill="1" applyBorder="1" applyAlignment="1">
      <alignment horizontal="center" vertical="center"/>
    </xf>
    <xf numFmtId="0" fontId="240" fillId="0" borderId="10" xfId="0" applyFont="1" applyBorder="1" applyAlignment="1">
      <alignment horizontal="center" vertical="center"/>
    </xf>
    <xf numFmtId="0" fontId="239" fillId="0" borderId="10" xfId="1" applyFont="1" applyFill="1" applyBorder="1" applyAlignment="1">
      <alignment horizontal="center" vertical="center"/>
    </xf>
    <xf numFmtId="0" fontId="7" fillId="0" borderId="0" xfId="0" applyFont="1" applyBorder="1" applyAlignment="1">
      <alignment horizontal="center" vertical="top"/>
    </xf>
    <xf numFmtId="0" fontId="72" fillId="2" borderId="10" xfId="1" applyFont="1" applyFill="1" applyBorder="1" applyAlignment="1">
      <alignment horizontal="center" vertical="center"/>
    </xf>
    <xf numFmtId="0" fontId="57" fillId="0" borderId="10" xfId="1" applyFont="1" applyFill="1" applyBorder="1" applyAlignment="1">
      <alignment horizontal="left" vertical="center"/>
    </xf>
    <xf numFmtId="0" fontId="79" fillId="3" borderId="10" xfId="0" applyFont="1" applyFill="1" applyBorder="1" applyAlignment="1">
      <alignment horizontal="center" wrapText="1"/>
    </xf>
    <xf numFmtId="0" fontId="238" fillId="58" borderId="10" xfId="0" applyFont="1" applyFill="1" applyBorder="1" applyAlignment="1">
      <alignment horizontal="center" vertical="center"/>
    </xf>
    <xf numFmtId="9" fontId="46" fillId="0" borderId="10" xfId="0" applyNumberFormat="1" applyFont="1" applyBorder="1" applyAlignment="1">
      <alignment horizontal="center" vertical="center"/>
    </xf>
    <xf numFmtId="0" fontId="238" fillId="59" borderId="10" xfId="391" applyNumberFormat="1" applyFont="1" applyFill="1" applyBorder="1" applyAlignment="1" applyProtection="1">
      <alignment horizontal="center" vertical="center"/>
    </xf>
    <xf numFmtId="0" fontId="46" fillId="61" borderId="10" xfId="0" applyFont="1" applyFill="1" applyBorder="1" applyAlignment="1">
      <alignment horizontal="center" vertical="center"/>
    </xf>
    <xf numFmtId="0" fontId="79" fillId="0" borderId="2" xfId="0" applyFont="1" applyBorder="1" applyAlignment="1">
      <alignment horizontal="center"/>
    </xf>
    <xf numFmtId="0" fontId="79" fillId="0" borderId="4" xfId="0" applyFont="1" applyBorder="1" applyAlignment="1">
      <alignment horizontal="center"/>
    </xf>
    <xf numFmtId="0" fontId="79" fillId="0" borderId="5" xfId="0" applyFont="1" applyBorder="1" applyAlignment="1">
      <alignment horizontal="center"/>
    </xf>
    <xf numFmtId="0" fontId="239" fillId="0" borderId="2" xfId="1" applyFont="1" applyFill="1" applyBorder="1" applyAlignment="1">
      <alignment horizontal="center" vertical="center"/>
    </xf>
    <xf numFmtId="0" fontId="239" fillId="0" borderId="4" xfId="1" applyFont="1" applyFill="1" applyBorder="1" applyAlignment="1">
      <alignment horizontal="center" vertical="center"/>
    </xf>
    <xf numFmtId="0" fontId="239" fillId="0" borderId="5" xfId="1" applyFont="1" applyFill="1" applyBorder="1" applyAlignment="1">
      <alignment horizontal="center" vertical="center"/>
    </xf>
    <xf numFmtId="0" fontId="79" fillId="3" borderId="2" xfId="0" applyFont="1" applyFill="1" applyBorder="1" applyAlignment="1">
      <alignment horizontal="center" wrapText="1"/>
    </xf>
    <xf numFmtId="0" fontId="79" fillId="3" borderId="4" xfId="0" applyFont="1" applyFill="1" applyBorder="1" applyAlignment="1">
      <alignment horizontal="center" wrapText="1"/>
    </xf>
    <xf numFmtId="0" fontId="79" fillId="3" borderId="5" xfId="0" applyFont="1" applyFill="1" applyBorder="1" applyAlignment="1">
      <alignment horizontal="center" wrapText="1"/>
    </xf>
    <xf numFmtId="0" fontId="79" fillId="3" borderId="8" xfId="0" applyFont="1" applyFill="1" applyBorder="1" applyAlignment="1">
      <alignment horizontal="center" vertical="center" wrapText="1"/>
    </xf>
    <xf numFmtId="0" fontId="79" fillId="3" borderId="12" xfId="0" applyFont="1" applyFill="1" applyBorder="1" applyAlignment="1">
      <alignment horizontal="center" vertical="center" wrapText="1"/>
    </xf>
    <xf numFmtId="0" fontId="79" fillId="3" borderId="11" xfId="0" applyFont="1" applyFill="1" applyBorder="1" applyAlignment="1">
      <alignment horizontal="center" vertical="center" wrapText="1"/>
    </xf>
    <xf numFmtId="0" fontId="79" fillId="3" borderId="15" xfId="0" applyFont="1" applyFill="1" applyBorder="1" applyAlignment="1">
      <alignment horizontal="center" vertical="center" wrapText="1"/>
    </xf>
    <xf numFmtId="0" fontId="79" fillId="3" borderId="1" xfId="0" applyFont="1" applyFill="1" applyBorder="1" applyAlignment="1">
      <alignment horizontal="center" vertical="center" wrapText="1"/>
    </xf>
    <xf numFmtId="0" fontId="79" fillId="3" borderId="16" xfId="0" applyFont="1" applyFill="1" applyBorder="1" applyAlignment="1">
      <alignment horizontal="center" vertical="center" wrapText="1"/>
    </xf>
    <xf numFmtId="0" fontId="107" fillId="4" borderId="10" xfId="1" applyFont="1" applyFill="1" applyBorder="1" applyAlignment="1">
      <alignment horizontal="center" vertical="center"/>
    </xf>
    <xf numFmtId="0" fontId="107" fillId="50" borderId="2" xfId="1" applyFont="1" applyFill="1" applyBorder="1" applyAlignment="1">
      <alignment horizontal="center" vertical="center" wrapText="1"/>
    </xf>
    <xf numFmtId="0" fontId="107" fillId="50" borderId="4" xfId="1" applyFont="1" applyFill="1" applyBorder="1" applyAlignment="1">
      <alignment horizontal="center" vertical="center" wrapText="1"/>
    </xf>
    <xf numFmtId="0" fontId="107" fillId="50" borderId="10" xfId="1" applyFont="1" applyFill="1" applyBorder="1" applyAlignment="1">
      <alignment horizontal="center" vertical="center" wrapText="1"/>
    </xf>
    <xf numFmtId="9" fontId="106" fillId="0" borderId="8" xfId="1" applyNumberFormat="1" applyFont="1" applyBorder="1" applyAlignment="1">
      <alignment horizontal="center" vertical="center"/>
    </xf>
    <xf numFmtId="9" fontId="106" fillId="0" borderId="12" xfId="1" applyNumberFormat="1" applyFont="1" applyBorder="1" applyAlignment="1">
      <alignment horizontal="center" vertical="center"/>
    </xf>
    <xf numFmtId="9" fontId="106" fillId="0" borderId="15" xfId="1" applyNumberFormat="1" applyFont="1" applyBorder="1" applyAlignment="1">
      <alignment horizontal="center" vertical="center"/>
    </xf>
    <xf numFmtId="9" fontId="106" fillId="0" borderId="1" xfId="1" applyNumberFormat="1" applyFont="1" applyBorder="1" applyAlignment="1">
      <alignment horizontal="center" vertical="center"/>
    </xf>
    <xf numFmtId="9" fontId="106" fillId="0" borderId="10" xfId="1" applyNumberFormat="1" applyFont="1" applyBorder="1" applyAlignment="1">
      <alignment horizontal="center" vertical="center"/>
    </xf>
    <xf numFmtId="0" fontId="40" fillId="0" borderId="10" xfId="1" applyFont="1" applyFill="1" applyBorder="1" applyAlignment="1">
      <alignment horizontal="center" vertical="center"/>
    </xf>
    <xf numFmtId="0" fontId="40" fillId="0" borderId="2" xfId="1" applyFont="1" applyFill="1" applyBorder="1" applyAlignment="1">
      <alignment horizontal="center" vertical="center"/>
    </xf>
    <xf numFmtId="0" fontId="76" fillId="3" borderId="2" xfId="1" applyFont="1" applyFill="1" applyBorder="1" applyAlignment="1">
      <alignment horizontal="center" vertical="center"/>
    </xf>
    <xf numFmtId="0" fontId="76" fillId="3" borderId="4" xfId="1" applyFont="1" applyFill="1" applyBorder="1" applyAlignment="1">
      <alignment horizontal="center" vertical="center"/>
    </xf>
    <xf numFmtId="0" fontId="42" fillId="0" borderId="10" xfId="1" applyFont="1" applyFill="1" applyBorder="1" applyAlignment="1">
      <alignment vertical="center"/>
    </xf>
    <xf numFmtId="9" fontId="3" fillId="0" borderId="0" xfId="1" applyNumberFormat="1" applyFont="1" applyFill="1" applyBorder="1" applyAlignment="1">
      <alignment horizontal="center" vertical="center"/>
    </xf>
    <xf numFmtId="0" fontId="42" fillId="2" borderId="2" xfId="1" applyFont="1" applyFill="1" applyBorder="1" applyAlignment="1">
      <alignment horizontal="center" vertical="center"/>
    </xf>
    <xf numFmtId="0" fontId="42" fillId="2" borderId="4" xfId="1" applyFont="1" applyFill="1" applyBorder="1" applyAlignment="1">
      <alignment horizontal="center" vertical="center"/>
    </xf>
    <xf numFmtId="0" fontId="42" fillId="2" borderId="5" xfId="1" applyFont="1" applyFill="1" applyBorder="1" applyAlignment="1">
      <alignment horizontal="center" vertical="center"/>
    </xf>
    <xf numFmtId="0" fontId="40" fillId="0" borderId="2" xfId="1" applyFont="1" applyBorder="1" applyAlignment="1">
      <alignment vertical="center"/>
    </xf>
    <xf numFmtId="0" fontId="40" fillId="0" borderId="4" xfId="1" applyFont="1" applyBorder="1" applyAlignment="1">
      <alignment vertical="center"/>
    </xf>
    <xf numFmtId="0" fontId="40" fillId="0" borderId="5" xfId="1" applyFont="1" applyBorder="1" applyAlignment="1">
      <alignment vertical="center"/>
    </xf>
    <xf numFmtId="0" fontId="107" fillId="50" borderId="10" xfId="1" applyFont="1" applyFill="1" applyBorder="1" applyAlignment="1">
      <alignment horizontal="center" vertical="center"/>
    </xf>
    <xf numFmtId="0" fontId="106" fillId="0" borderId="10" xfId="1" applyFont="1" applyBorder="1" applyAlignment="1">
      <alignment horizontal="center" vertical="center"/>
    </xf>
    <xf numFmtId="0" fontId="40" fillId="0" borderId="0" xfId="1" applyFont="1" applyBorder="1" applyAlignment="1">
      <alignment horizontal="left" vertical="center"/>
    </xf>
    <xf numFmtId="0" fontId="3" fillId="0" borderId="0" xfId="1" applyFont="1" applyBorder="1" applyAlignment="1">
      <alignment horizontal="center" vertical="center"/>
    </xf>
    <xf numFmtId="0" fontId="123" fillId="0" borderId="89" xfId="1" applyFont="1" applyBorder="1" applyAlignment="1">
      <alignment horizontal="center" vertical="center"/>
    </xf>
    <xf numFmtId="0" fontId="41" fillId="2" borderId="2" xfId="1" applyFont="1" applyFill="1" applyBorder="1" applyAlignment="1">
      <alignment horizontal="center" vertical="center"/>
    </xf>
    <xf numFmtId="0" fontId="41" fillId="2" borderId="8" xfId="1" applyFont="1" applyFill="1" applyBorder="1" applyAlignment="1">
      <alignment horizontal="center" vertical="center"/>
    </xf>
    <xf numFmtId="0" fontId="12" fillId="3" borderId="10" xfId="1" applyFont="1" applyFill="1" applyBorder="1" applyAlignment="1">
      <alignment horizontal="center" vertical="center"/>
    </xf>
    <xf numFmtId="0" fontId="12" fillId="2" borderId="3" xfId="1" applyFont="1" applyFill="1" applyBorder="1" applyAlignment="1">
      <alignment horizontal="center" vertical="center" wrapText="1"/>
    </xf>
    <xf numFmtId="0" fontId="12" fillId="2" borderId="7" xfId="1" applyFont="1" applyFill="1" applyBorder="1" applyAlignment="1">
      <alignment horizontal="center" vertical="center" wrapText="1"/>
    </xf>
    <xf numFmtId="0" fontId="12" fillId="2" borderId="9" xfId="1" applyFont="1" applyFill="1" applyBorder="1" applyAlignment="1">
      <alignment horizontal="center" vertical="center" wrapText="1"/>
    </xf>
    <xf numFmtId="0" fontId="76" fillId="56" borderId="15" xfId="1" applyFont="1" applyFill="1" applyBorder="1" applyAlignment="1">
      <alignment horizontal="center" vertical="center"/>
    </xf>
    <xf numFmtId="0" fontId="76" fillId="56" borderId="1" xfId="1" applyFont="1" applyFill="1" applyBorder="1" applyAlignment="1">
      <alignment horizontal="center" vertical="center"/>
    </xf>
    <xf numFmtId="0" fontId="42" fillId="2" borderId="10" xfId="1" applyFont="1" applyFill="1" applyBorder="1" applyAlignment="1">
      <alignment horizontal="center" vertical="center"/>
    </xf>
    <xf numFmtId="0" fontId="76" fillId="2" borderId="12" xfId="1" applyFont="1" applyFill="1" applyBorder="1" applyAlignment="1">
      <alignment horizontal="center" vertical="center"/>
    </xf>
    <xf numFmtId="0" fontId="76" fillId="2" borderId="11" xfId="1" applyFont="1" applyFill="1" applyBorder="1" applyAlignment="1">
      <alignment horizontal="center" vertical="center"/>
    </xf>
    <xf numFmtId="0" fontId="42" fillId="3" borderId="2" xfId="2" applyFont="1" applyFill="1" applyBorder="1" applyAlignment="1">
      <alignment horizontal="center" vertical="center"/>
    </xf>
    <xf numFmtId="0" fontId="42" fillId="3" borderId="4" xfId="2" applyFont="1" applyFill="1" applyBorder="1" applyAlignment="1">
      <alignment horizontal="center" vertical="center"/>
    </xf>
    <xf numFmtId="0" fontId="42" fillId="3" borderId="5" xfId="2" applyFont="1" applyFill="1" applyBorder="1" applyAlignment="1">
      <alignment horizontal="center" vertical="center"/>
    </xf>
    <xf numFmtId="0" fontId="40" fillId="0" borderId="4" xfId="1" applyFont="1" applyFill="1" applyBorder="1" applyAlignment="1">
      <alignment horizontal="center" vertical="center"/>
    </xf>
    <xf numFmtId="0" fontId="40" fillId="0" borderId="5" xfId="1" applyFont="1" applyFill="1" applyBorder="1" applyAlignment="1">
      <alignment horizontal="center" vertical="center"/>
    </xf>
    <xf numFmtId="0" fontId="40" fillId="0" borderId="8" xfId="1" applyFont="1" applyBorder="1" applyAlignment="1">
      <alignment vertical="center"/>
    </xf>
    <xf numFmtId="0" fontId="40" fillId="0" borderId="11" xfId="1" applyFont="1" applyBorder="1" applyAlignment="1">
      <alignment vertical="center"/>
    </xf>
    <xf numFmtId="0" fontId="42" fillId="3" borderId="2" xfId="1" applyFont="1" applyFill="1" applyBorder="1" applyAlignment="1">
      <alignment horizontal="center" vertical="center"/>
    </xf>
    <xf numFmtId="0" fontId="42" fillId="3" borderId="4" xfId="1" applyFont="1" applyFill="1" applyBorder="1" applyAlignment="1">
      <alignment horizontal="center" vertical="center"/>
    </xf>
    <xf numFmtId="0" fontId="42" fillId="3" borderId="5" xfId="1" applyFont="1" applyFill="1" applyBorder="1" applyAlignment="1">
      <alignment horizontal="center" vertical="center"/>
    </xf>
    <xf numFmtId="0" fontId="42" fillId="0" borderId="7" xfId="1" applyFont="1" applyBorder="1" applyAlignment="1">
      <alignment horizontal="center" vertical="center"/>
    </xf>
    <xf numFmtId="0" fontId="42" fillId="0" borderId="9" xfId="1" applyFont="1" applyBorder="1" applyAlignment="1">
      <alignment horizontal="center" vertical="center"/>
    </xf>
    <xf numFmtId="164" fontId="40" fillId="0" borderId="10" xfId="5" applyFont="1" applyBorder="1" applyAlignment="1">
      <alignment horizontal="center" vertical="center"/>
    </xf>
    <xf numFmtId="0" fontId="76" fillId="2" borderId="8" xfId="1" applyFont="1" applyFill="1" applyBorder="1" applyAlignment="1">
      <alignment horizontal="center" vertical="center"/>
    </xf>
    <xf numFmtId="0" fontId="8" fillId="2" borderId="10" xfId="1" applyFont="1" applyFill="1" applyBorder="1" applyAlignment="1">
      <alignment horizontal="center" vertical="center" wrapText="1"/>
    </xf>
    <xf numFmtId="0" fontId="12" fillId="2" borderId="10" xfId="1" applyFont="1" applyFill="1" applyBorder="1" applyAlignment="1">
      <alignment horizontal="center" vertical="center" wrapText="1"/>
    </xf>
    <xf numFmtId="0" fontId="9" fillId="2" borderId="2" xfId="1" applyFont="1" applyFill="1" applyBorder="1" applyAlignment="1">
      <alignment horizontal="center" vertical="center" wrapText="1"/>
    </xf>
    <xf numFmtId="0" fontId="9" fillId="2" borderId="5" xfId="1" applyFont="1" applyFill="1" applyBorder="1" applyAlignment="1">
      <alignment horizontal="center" vertical="center" wrapText="1"/>
    </xf>
    <xf numFmtId="0" fontId="9" fillId="4" borderId="11" xfId="1" applyFont="1" applyFill="1" applyBorder="1" applyAlignment="1">
      <alignment horizontal="center" vertical="center"/>
    </xf>
    <xf numFmtId="0" fontId="9" fillId="4" borderId="16" xfId="1" applyFont="1" applyFill="1" applyBorder="1" applyAlignment="1">
      <alignment horizontal="center" vertical="center"/>
    </xf>
    <xf numFmtId="0" fontId="7" fillId="50" borderId="10" xfId="1" applyFont="1" applyFill="1" applyBorder="1" applyAlignment="1">
      <alignment horizontal="center" vertical="center"/>
    </xf>
    <xf numFmtId="0" fontId="9" fillId="4" borderId="2" xfId="1" applyFont="1" applyFill="1" applyBorder="1" applyAlignment="1">
      <alignment horizontal="center" vertical="center" wrapText="1"/>
    </xf>
    <xf numFmtId="0" fontId="9" fillId="4" borderId="4" xfId="1" applyFont="1" applyFill="1" applyBorder="1" applyAlignment="1">
      <alignment horizontal="center" vertical="center" wrapText="1"/>
    </xf>
    <xf numFmtId="9" fontId="10" fillId="0" borderId="8" xfId="1" applyNumberFormat="1" applyFont="1" applyBorder="1" applyAlignment="1">
      <alignment horizontal="center" vertical="center"/>
    </xf>
    <xf numFmtId="9" fontId="10" fillId="0" borderId="12" xfId="1" applyNumberFormat="1" applyFont="1" applyBorder="1" applyAlignment="1">
      <alignment horizontal="center" vertical="center"/>
    </xf>
    <xf numFmtId="9" fontId="10" fillId="0" borderId="11" xfId="1" applyNumberFormat="1" applyFont="1" applyBorder="1" applyAlignment="1">
      <alignment horizontal="center" vertical="center"/>
    </xf>
    <xf numFmtId="9" fontId="10" fillId="0" borderId="6" xfId="1" applyNumberFormat="1" applyFont="1" applyBorder="1" applyAlignment="1">
      <alignment horizontal="center" vertical="center"/>
    </xf>
    <xf numFmtId="9" fontId="10" fillId="0" borderId="0" xfId="1" applyNumberFormat="1" applyFont="1" applyBorder="1" applyAlignment="1">
      <alignment horizontal="center" vertical="center"/>
    </xf>
    <xf numFmtId="9" fontId="10" fillId="0" borderId="14" xfId="1" applyNumberFormat="1" applyFont="1" applyBorder="1" applyAlignment="1">
      <alignment horizontal="center" vertical="center"/>
    </xf>
    <xf numFmtId="9" fontId="10" fillId="0" borderId="15" xfId="1" applyNumberFormat="1" applyFont="1" applyBorder="1" applyAlignment="1">
      <alignment horizontal="center" vertical="center"/>
    </xf>
    <xf numFmtId="9" fontId="10" fillId="0" borderId="1" xfId="1" applyNumberFormat="1" applyFont="1" applyBorder="1" applyAlignment="1">
      <alignment horizontal="center" vertical="center"/>
    </xf>
    <xf numFmtId="9" fontId="10" fillId="0" borderId="16" xfId="1" applyNumberFormat="1" applyFont="1" applyBorder="1" applyAlignment="1">
      <alignment horizontal="center" vertical="center"/>
    </xf>
    <xf numFmtId="9" fontId="10" fillId="0" borderId="2" xfId="1" applyNumberFormat="1" applyFont="1" applyBorder="1" applyAlignment="1">
      <alignment horizontal="center" vertical="center"/>
    </xf>
    <xf numFmtId="9" fontId="10" fillId="0" borderId="4" xfId="1" applyNumberFormat="1" applyFont="1" applyBorder="1" applyAlignment="1">
      <alignment horizontal="center" vertical="center"/>
    </xf>
    <xf numFmtId="9" fontId="10" fillId="0" borderId="5" xfId="1" applyNumberFormat="1" applyFont="1" applyBorder="1" applyAlignment="1">
      <alignment horizontal="center" vertical="center"/>
    </xf>
    <xf numFmtId="0" fontId="76" fillId="2" borderId="10" xfId="1" applyFont="1" applyFill="1" applyBorder="1" applyAlignment="1">
      <alignment horizontal="center" vertical="center"/>
    </xf>
    <xf numFmtId="1" fontId="42" fillId="3" borderId="2" xfId="3" applyNumberFormat="1" applyFont="1" applyFill="1" applyBorder="1" applyAlignment="1">
      <alignment horizontal="center" vertical="center"/>
    </xf>
    <xf numFmtId="1" fontId="42" fillId="3" borderId="4" xfId="3" applyNumberFormat="1" applyFont="1" applyFill="1" applyBorder="1" applyAlignment="1">
      <alignment horizontal="center" vertical="center"/>
    </xf>
    <xf numFmtId="0" fontId="9" fillId="4" borderId="3" xfId="1" applyFont="1" applyFill="1" applyBorder="1" applyAlignment="1">
      <alignment horizontal="center" vertical="center" wrapText="1"/>
    </xf>
    <xf numFmtId="0" fontId="9" fillId="4" borderId="9" xfId="1" applyFont="1" applyFill="1" applyBorder="1" applyAlignment="1">
      <alignment horizontal="center" vertical="center" wrapText="1"/>
    </xf>
    <xf numFmtId="9" fontId="10" fillId="0" borderId="3" xfId="1" applyNumberFormat="1" applyFont="1" applyBorder="1" applyAlignment="1">
      <alignment horizontal="center" vertical="center"/>
    </xf>
    <xf numFmtId="9" fontId="10" fillId="0" borderId="7" xfId="1" applyNumberFormat="1" applyFont="1" applyBorder="1" applyAlignment="1">
      <alignment horizontal="center" vertical="center"/>
    </xf>
    <xf numFmtId="9" fontId="10" fillId="0" borderId="9" xfId="1" applyNumberFormat="1" applyFont="1" applyBorder="1" applyAlignment="1">
      <alignment horizontal="center" vertical="center"/>
    </xf>
    <xf numFmtId="0" fontId="76" fillId="3" borderId="5" xfId="1" applyFont="1" applyFill="1" applyBorder="1" applyAlignment="1">
      <alignment horizontal="center" vertical="center"/>
    </xf>
    <xf numFmtId="0" fontId="9" fillId="0" borderId="2" xfId="1" applyFont="1" applyBorder="1" applyAlignment="1">
      <alignment vertical="center"/>
    </xf>
    <xf numFmtId="0" fontId="9" fillId="0" borderId="4" xfId="1" applyFont="1" applyBorder="1" applyAlignment="1">
      <alignment vertical="center"/>
    </xf>
    <xf numFmtId="0" fontId="9" fillId="0" borderId="5" xfId="1" applyFont="1" applyBorder="1" applyAlignment="1">
      <alignment vertical="center"/>
    </xf>
    <xf numFmtId="9" fontId="10" fillId="0" borderId="2" xfId="4" applyFont="1" applyBorder="1" applyAlignment="1">
      <alignment horizontal="center" vertical="center"/>
    </xf>
    <xf numFmtId="9" fontId="10" fillId="0" borderId="4" xfId="4" applyFont="1" applyBorder="1" applyAlignment="1">
      <alignment horizontal="center" vertical="center"/>
    </xf>
    <xf numFmtId="0" fontId="42" fillId="2" borderId="10" xfId="1" applyFont="1" applyFill="1" applyBorder="1" applyAlignment="1">
      <alignment horizontal="center" vertical="center" wrapText="1"/>
    </xf>
    <xf numFmtId="0" fontId="42" fillId="0" borderId="2" xfId="1" applyFont="1" applyBorder="1" applyAlignment="1">
      <alignment horizontal="center" vertical="center"/>
    </xf>
    <xf numFmtId="0" fontId="42" fillId="0" borderId="4" xfId="1" applyFont="1" applyBorder="1" applyAlignment="1">
      <alignment horizontal="center" vertical="center"/>
    </xf>
    <xf numFmtId="0" fontId="42" fillId="0" borderId="5" xfId="1" applyFont="1" applyBorder="1" applyAlignment="1">
      <alignment horizontal="center" vertical="center"/>
    </xf>
    <xf numFmtId="0" fontId="40" fillId="0" borderId="2" xfId="1" applyFont="1" applyBorder="1" applyAlignment="1">
      <alignment horizontal="center" vertical="center"/>
    </xf>
    <xf numFmtId="0" fontId="40" fillId="0" borderId="4" xfId="1" applyFont="1" applyBorder="1" applyAlignment="1">
      <alignment horizontal="center" vertical="center"/>
    </xf>
    <xf numFmtId="0" fontId="40" fillId="0" borderId="5" xfId="1" applyFont="1" applyBorder="1" applyAlignment="1">
      <alignment horizontal="center" vertical="center"/>
    </xf>
    <xf numFmtId="44" fontId="40" fillId="0" borderId="2" xfId="363" applyFont="1" applyBorder="1" applyAlignment="1">
      <alignment horizontal="center" vertical="center"/>
    </xf>
    <xf numFmtId="44" fontId="40" fillId="0" borderId="4" xfId="363" applyFont="1" applyBorder="1" applyAlignment="1">
      <alignment horizontal="center" vertical="center"/>
    </xf>
    <xf numFmtId="44" fontId="40" fillId="0" borderId="5" xfId="363" applyFont="1" applyBorder="1" applyAlignment="1">
      <alignment horizontal="center" vertical="center"/>
    </xf>
    <xf numFmtId="0" fontId="9" fillId="0" borderId="2" xfId="1" applyFont="1" applyBorder="1" applyAlignment="1">
      <alignment vertical="center" wrapText="1"/>
    </xf>
    <xf numFmtId="0" fontId="9" fillId="0" borderId="4" xfId="1" applyFont="1" applyBorder="1" applyAlignment="1">
      <alignment vertical="center" wrapText="1"/>
    </xf>
    <xf numFmtId="0" fontId="9" fillId="0" borderId="5" xfId="1" applyFont="1" applyBorder="1" applyAlignment="1">
      <alignment vertical="center" wrapText="1"/>
    </xf>
    <xf numFmtId="0" fontId="9" fillId="4" borderId="8" xfId="1" applyFont="1" applyFill="1" applyBorder="1" applyAlignment="1">
      <alignment horizontal="center" vertical="center"/>
    </xf>
    <xf numFmtId="0" fontId="9" fillId="4" borderId="12" xfId="1" applyFont="1" applyFill="1" applyBorder="1" applyAlignment="1">
      <alignment horizontal="center" vertical="center"/>
    </xf>
    <xf numFmtId="0" fontId="9" fillId="4" borderId="15" xfId="1" applyFont="1" applyFill="1" applyBorder="1" applyAlignment="1">
      <alignment horizontal="center" vertical="center"/>
    </xf>
    <xf numFmtId="0" fontId="9" fillId="4" borderId="1" xfId="1" applyFont="1" applyFill="1" applyBorder="1" applyAlignment="1">
      <alignment horizontal="center" vertical="center"/>
    </xf>
    <xf numFmtId="0" fontId="9" fillId="4" borderId="10" xfId="1" applyFont="1" applyFill="1" applyBorder="1" applyAlignment="1">
      <alignment horizontal="center" vertical="center" wrapText="1"/>
    </xf>
    <xf numFmtId="0" fontId="9" fillId="4" borderId="8" xfId="1" applyFont="1" applyFill="1" applyBorder="1" applyAlignment="1">
      <alignment horizontal="center" vertical="center" wrapText="1"/>
    </xf>
    <xf numFmtId="0" fontId="9" fillId="4" borderId="11" xfId="1" applyFont="1" applyFill="1" applyBorder="1" applyAlignment="1">
      <alignment horizontal="center" vertical="center" wrapText="1"/>
    </xf>
    <xf numFmtId="0" fontId="9" fillId="4" borderId="15" xfId="1" applyFont="1" applyFill="1" applyBorder="1" applyAlignment="1">
      <alignment horizontal="center" vertical="center" wrapText="1"/>
    </xf>
    <xf numFmtId="0" fontId="9" fillId="4" borderId="16" xfId="1" applyFont="1" applyFill="1" applyBorder="1" applyAlignment="1">
      <alignment horizontal="center" vertical="center" wrapText="1"/>
    </xf>
    <xf numFmtId="0" fontId="50" fillId="0" borderId="0" xfId="2" applyFont="1" applyFill="1" applyBorder="1" applyAlignment="1">
      <alignment horizontal="center" wrapText="1"/>
    </xf>
    <xf numFmtId="0" fontId="48" fillId="0" borderId="0" xfId="364" applyFont="1" applyFill="1" applyBorder="1" applyAlignment="1">
      <alignment horizontal="center" vertical="center"/>
    </xf>
    <xf numFmtId="0" fontId="48" fillId="0" borderId="0" xfId="364" applyFont="1" applyFill="1" applyBorder="1" applyAlignment="1">
      <alignment horizontal="center" wrapText="1"/>
    </xf>
    <xf numFmtId="0" fontId="10" fillId="0" borderId="10" xfId="1" applyFont="1" applyBorder="1" applyAlignment="1">
      <alignment horizontal="center" vertical="center"/>
    </xf>
    <xf numFmtId="9" fontId="40" fillId="0" borderId="2" xfId="1" applyNumberFormat="1" applyFont="1" applyBorder="1" applyAlignment="1">
      <alignment horizontal="center" vertical="center"/>
    </xf>
    <xf numFmtId="9" fontId="40" fillId="0" borderId="4" xfId="1" applyNumberFormat="1" applyFont="1" applyBorder="1" applyAlignment="1">
      <alignment horizontal="center" vertical="center"/>
    </xf>
    <xf numFmtId="9" fontId="40" fillId="0" borderId="5" xfId="1" applyNumberFormat="1" applyFont="1" applyBorder="1" applyAlignment="1">
      <alignment horizontal="center" vertical="center"/>
    </xf>
    <xf numFmtId="0" fontId="42" fillId="2" borderId="2" xfId="1" applyFont="1" applyFill="1" applyBorder="1" applyAlignment="1">
      <alignment vertical="center"/>
    </xf>
    <xf numFmtId="0" fontId="42" fillId="2" borderId="4" xfId="1" applyFont="1" applyFill="1" applyBorder="1" applyAlignment="1">
      <alignment vertical="center"/>
    </xf>
    <xf numFmtId="0" fontId="42" fillId="2" borderId="5" xfId="1" applyFont="1" applyFill="1" applyBorder="1" applyAlignment="1">
      <alignment vertical="center"/>
    </xf>
    <xf numFmtId="0" fontId="42" fillId="0" borderId="8" xfId="1" applyFont="1" applyBorder="1" applyAlignment="1">
      <alignment horizontal="center" vertical="center"/>
    </xf>
    <xf numFmtId="0" fontId="42" fillId="0" borderId="12" xfId="1" applyFont="1" applyBorder="1" applyAlignment="1">
      <alignment horizontal="center" vertical="center"/>
    </xf>
    <xf numFmtId="0" fontId="42" fillId="0" borderId="11" xfId="1" applyFont="1" applyBorder="1" applyAlignment="1">
      <alignment horizontal="center" vertical="center"/>
    </xf>
    <xf numFmtId="0" fontId="42" fillId="0" borderId="6" xfId="1" applyFont="1" applyBorder="1" applyAlignment="1">
      <alignment horizontal="center" vertical="center"/>
    </xf>
    <xf numFmtId="0" fontId="42" fillId="0" borderId="0" xfId="1" applyFont="1" applyBorder="1" applyAlignment="1">
      <alignment horizontal="center" vertical="center"/>
    </xf>
    <xf numFmtId="0" fontId="42" fillId="0" borderId="14" xfId="1" applyFont="1" applyBorder="1" applyAlignment="1">
      <alignment horizontal="center" vertical="center"/>
    </xf>
    <xf numFmtId="0" fontId="42" fillId="0" borderId="15" xfId="1" applyFont="1" applyBorder="1" applyAlignment="1">
      <alignment horizontal="center" vertical="center"/>
    </xf>
    <xf numFmtId="0" fontId="42" fillId="0" borderId="1" xfId="1" applyFont="1" applyBorder="1" applyAlignment="1">
      <alignment horizontal="center" vertical="center"/>
    </xf>
    <xf numFmtId="0" fontId="42" fillId="0" borderId="16" xfId="1" applyFont="1" applyBorder="1" applyAlignment="1">
      <alignment horizontal="center" vertical="center"/>
    </xf>
    <xf numFmtId="9" fontId="10" fillId="0" borderId="5" xfId="4" applyFont="1" applyBorder="1" applyAlignment="1">
      <alignment horizontal="center" vertical="center"/>
    </xf>
    <xf numFmtId="0" fontId="48" fillId="0" borderId="0" xfId="364" applyFont="1" applyFill="1" applyBorder="1" applyAlignment="1">
      <alignment horizontal="center"/>
    </xf>
    <xf numFmtId="0" fontId="49" fillId="0" borderId="0" xfId="2" applyFont="1" applyFill="1" applyBorder="1" applyAlignment="1">
      <alignment horizontal="center" wrapText="1"/>
    </xf>
    <xf numFmtId="0" fontId="12" fillId="2" borderId="3" xfId="1" applyFont="1" applyFill="1" applyBorder="1" applyAlignment="1">
      <alignment horizontal="center" vertical="center"/>
    </xf>
    <xf numFmtId="0" fontId="12" fillId="2" borderId="9" xfId="1" applyFont="1" applyFill="1" applyBorder="1" applyAlignment="1">
      <alignment horizontal="center" vertical="center"/>
    </xf>
    <xf numFmtId="1" fontId="42" fillId="3" borderId="5" xfId="3" applyNumberFormat="1" applyFont="1" applyFill="1" applyBorder="1" applyAlignment="1">
      <alignment horizontal="center" vertical="center"/>
    </xf>
    <xf numFmtId="0" fontId="40" fillId="0" borderId="2" xfId="1" applyFont="1" applyBorder="1" applyAlignment="1">
      <alignment vertical="center" wrapText="1"/>
    </xf>
    <xf numFmtId="0" fontId="40" fillId="0" borderId="4" xfId="1" applyFont="1" applyBorder="1" applyAlignment="1">
      <alignment vertical="center" wrapText="1"/>
    </xf>
    <xf numFmtId="0" fontId="0" fillId="0" borderId="4" xfId="0" applyBorder="1"/>
    <xf numFmtId="0" fontId="0" fillId="0" borderId="5" xfId="0" applyBorder="1"/>
    <xf numFmtId="0" fontId="40" fillId="0" borderId="3" xfId="1" applyFont="1" applyFill="1" applyBorder="1" applyAlignment="1">
      <alignment horizontal="center" vertical="center"/>
    </xf>
    <xf numFmtId="0" fontId="42" fillId="3" borderId="10" xfId="1" applyFont="1" applyFill="1" applyBorder="1" applyAlignment="1">
      <alignment horizontal="center" vertical="center" wrapText="1"/>
    </xf>
    <xf numFmtId="0" fontId="76" fillId="3" borderId="10" xfId="1" applyFont="1" applyFill="1" applyBorder="1" applyAlignment="1">
      <alignment horizontal="center" vertical="center"/>
    </xf>
    <xf numFmtId="0" fontId="42" fillId="3" borderId="10" xfId="1" applyFont="1" applyFill="1" applyBorder="1" applyAlignment="1">
      <alignment horizontal="center" vertical="center"/>
    </xf>
    <xf numFmtId="3" fontId="42" fillId="3" borderId="10" xfId="1" applyNumberFormat="1" applyFont="1" applyFill="1" applyBorder="1" applyAlignment="1">
      <alignment horizontal="center" vertical="center"/>
    </xf>
    <xf numFmtId="0" fontId="3" fillId="0" borderId="90" xfId="1" applyFont="1" applyBorder="1" applyAlignment="1">
      <alignment horizontal="center" vertical="center"/>
    </xf>
    <xf numFmtId="0" fontId="123" fillId="0" borderId="0" xfId="1" applyFont="1" applyBorder="1" applyAlignment="1">
      <alignment horizontal="center"/>
    </xf>
    <xf numFmtId="14" fontId="40" fillId="0" borderId="1" xfId="1" applyNumberFormat="1" applyFont="1" applyBorder="1" applyAlignment="1">
      <alignment horizontal="left" vertical="center"/>
    </xf>
    <xf numFmtId="0" fontId="41" fillId="2" borderId="3" xfId="1" applyFont="1" applyFill="1" applyBorder="1" applyAlignment="1">
      <alignment horizontal="center" vertical="center"/>
    </xf>
    <xf numFmtId="0" fontId="41" fillId="2" borderId="7" xfId="1" applyFont="1" applyFill="1" applyBorder="1" applyAlignment="1">
      <alignment horizontal="center" vertical="center"/>
    </xf>
    <xf numFmtId="0" fontId="41" fillId="2" borderId="9" xfId="1" applyFont="1" applyFill="1" applyBorder="1" applyAlignment="1">
      <alignment horizontal="center" vertical="center"/>
    </xf>
    <xf numFmtId="0" fontId="8" fillId="2" borderId="4" xfId="1" applyFont="1" applyFill="1" applyBorder="1" applyAlignment="1">
      <alignment horizontal="center" vertical="center" wrapText="1"/>
    </xf>
    <xf numFmtId="0" fontId="8" fillId="2" borderId="5" xfId="1" applyFont="1" applyFill="1" applyBorder="1" applyAlignment="1">
      <alignment horizontal="center" vertical="center" wrapText="1"/>
    </xf>
    <xf numFmtId="0" fontId="12" fillId="2" borderId="7" xfId="1" applyFont="1" applyFill="1" applyBorder="1" applyAlignment="1">
      <alignment horizontal="center" vertical="center"/>
    </xf>
    <xf numFmtId="0" fontId="12" fillId="2" borderId="8" xfId="1" applyFont="1" applyFill="1" applyBorder="1" applyAlignment="1">
      <alignment horizontal="center" vertical="center"/>
    </xf>
    <xf numFmtId="0" fontId="12" fillId="2" borderId="8" xfId="1" applyFont="1" applyFill="1" applyBorder="1" applyAlignment="1">
      <alignment horizontal="center" vertical="center" wrapText="1"/>
    </xf>
    <xf numFmtId="0" fontId="12" fillId="2" borderId="12" xfId="1" applyFont="1" applyFill="1" applyBorder="1" applyAlignment="1">
      <alignment horizontal="center" vertical="center" wrapText="1"/>
    </xf>
    <xf numFmtId="0" fontId="12" fillId="2" borderId="15" xfId="1" applyFont="1" applyFill="1" applyBorder="1" applyAlignment="1">
      <alignment horizontal="center" vertical="center" wrapText="1"/>
    </xf>
    <xf numFmtId="0" fontId="12" fillId="2" borderId="1" xfId="1" applyFont="1" applyFill="1" applyBorder="1" applyAlignment="1">
      <alignment horizontal="center" vertical="center" wrapText="1"/>
    </xf>
    <xf numFmtId="0" fontId="12" fillId="2" borderId="11" xfId="1" applyFont="1" applyFill="1" applyBorder="1" applyAlignment="1">
      <alignment horizontal="center" vertical="center" wrapText="1"/>
    </xf>
    <xf numFmtId="0" fontId="12" fillId="2" borderId="16" xfId="1" applyFont="1" applyFill="1" applyBorder="1" applyAlignment="1">
      <alignment horizontal="center" vertical="center" wrapText="1"/>
    </xf>
    <xf numFmtId="0" fontId="9" fillId="0" borderId="2" xfId="1" applyFont="1" applyBorder="1" applyAlignment="1">
      <alignment horizontal="left" vertical="center"/>
    </xf>
    <xf numFmtId="0" fontId="9" fillId="0" borderId="4" xfId="1" applyFont="1" applyBorder="1" applyAlignment="1">
      <alignment horizontal="left" vertical="center"/>
    </xf>
    <xf numFmtId="0" fontId="9" fillId="0" borderId="5" xfId="1" applyFont="1" applyBorder="1" applyAlignment="1">
      <alignment horizontal="left" vertical="center"/>
    </xf>
    <xf numFmtId="0" fontId="10" fillId="0" borderId="4" xfId="1" applyFont="1" applyBorder="1" applyAlignment="1">
      <alignment horizontal="center" vertical="center"/>
    </xf>
    <xf numFmtId="0" fontId="10" fillId="0" borderId="5" xfId="1" applyFont="1" applyBorder="1" applyAlignment="1">
      <alignment horizontal="center" vertical="center"/>
    </xf>
    <xf numFmtId="0" fontId="12" fillId="3" borderId="3" xfId="1" applyFont="1" applyFill="1" applyBorder="1" applyAlignment="1">
      <alignment horizontal="center" vertical="center" wrapText="1"/>
    </xf>
    <xf numFmtId="0" fontId="12" fillId="3" borderId="7" xfId="1" applyFont="1" applyFill="1" applyBorder="1" applyAlignment="1">
      <alignment horizontal="center" vertical="center" wrapText="1"/>
    </xf>
    <xf numFmtId="0" fontId="12" fillId="3" borderId="9" xfId="1" applyFont="1" applyFill="1" applyBorder="1" applyAlignment="1">
      <alignment horizontal="center" vertical="center" wrapText="1"/>
    </xf>
    <xf numFmtId="0" fontId="9" fillId="2" borderId="15" xfId="1" applyFont="1" applyFill="1" applyBorder="1" applyAlignment="1">
      <alignment horizontal="center" vertical="center" wrapText="1"/>
    </xf>
    <xf numFmtId="0" fontId="9" fillId="2" borderId="16" xfId="1" applyFont="1" applyFill="1" applyBorder="1" applyAlignment="1">
      <alignment horizontal="center" vertical="center" wrapText="1"/>
    </xf>
    <xf numFmtId="0" fontId="12" fillId="3" borderId="9" xfId="1" applyFont="1" applyFill="1" applyBorder="1" applyAlignment="1">
      <alignment horizontal="center" vertical="center"/>
    </xf>
    <xf numFmtId="3" fontId="42" fillId="3" borderId="2" xfId="1" applyNumberFormat="1" applyFont="1" applyFill="1" applyBorder="1" applyAlignment="1">
      <alignment horizontal="center" vertical="center"/>
    </xf>
    <xf numFmtId="3" fontId="42" fillId="3" borderId="5" xfId="1" applyNumberFormat="1" applyFont="1" applyFill="1" applyBorder="1" applyAlignment="1">
      <alignment horizontal="center" vertical="center"/>
    </xf>
    <xf numFmtId="0" fontId="6" fillId="0" borderId="0" xfId="365" applyFont="1" applyBorder="1" applyAlignment="1">
      <alignment horizontal="center"/>
    </xf>
    <xf numFmtId="0" fontId="6" fillId="0" borderId="93" xfId="365" applyFont="1" applyBorder="1" applyAlignment="1">
      <alignment horizontal="center"/>
    </xf>
    <xf numFmtId="0" fontId="60" fillId="0" borderId="94" xfId="1" applyFont="1" applyBorder="1" applyAlignment="1">
      <alignment horizontal="center" vertical="center"/>
    </xf>
    <xf numFmtId="0" fontId="46" fillId="2" borderId="3" xfId="2" applyFont="1" applyFill="1" applyBorder="1" applyAlignment="1">
      <alignment horizontal="center" vertical="center"/>
    </xf>
    <xf numFmtId="0" fontId="46" fillId="2" borderId="7" xfId="2" applyFont="1" applyFill="1" applyBorder="1" applyAlignment="1">
      <alignment horizontal="center" vertical="center"/>
    </xf>
    <xf numFmtId="0" fontId="46" fillId="2" borderId="10" xfId="2" applyFont="1" applyFill="1" applyBorder="1" applyAlignment="1">
      <alignment horizontal="center" vertical="center"/>
    </xf>
    <xf numFmtId="0" fontId="46" fillId="2" borderId="3" xfId="2" applyFont="1" applyFill="1" applyBorder="1" applyAlignment="1">
      <alignment horizontal="center" vertical="center" wrapText="1"/>
    </xf>
    <xf numFmtId="0" fontId="46" fillId="2" borderId="7" xfId="2" applyFont="1" applyFill="1" applyBorder="1" applyAlignment="1">
      <alignment horizontal="center" vertical="center" wrapText="1"/>
    </xf>
    <xf numFmtId="0" fontId="46" fillId="2" borderId="10" xfId="2" applyFont="1" applyFill="1" applyBorder="1" applyAlignment="1">
      <alignment horizontal="center" vertical="center" wrapText="1"/>
    </xf>
    <xf numFmtId="0" fontId="6" fillId="0" borderId="3" xfId="365" applyFont="1" applyBorder="1" applyAlignment="1">
      <alignment horizontal="center"/>
    </xf>
    <xf numFmtId="0" fontId="6" fillId="0" borderId="7" xfId="365" applyFont="1" applyBorder="1" applyAlignment="1">
      <alignment horizontal="center"/>
    </xf>
    <xf numFmtId="0" fontId="6" fillId="0" borderId="9" xfId="365" applyFont="1" applyBorder="1" applyAlignment="1">
      <alignment horizontal="center"/>
    </xf>
    <xf numFmtId="0" fontId="59" fillId="0" borderId="3" xfId="2" applyFont="1" applyFill="1" applyBorder="1" applyAlignment="1">
      <alignment horizontal="left" vertical="center" wrapText="1"/>
    </xf>
    <xf numFmtId="0" fontId="59" fillId="0" borderId="7" xfId="2" applyFont="1" applyFill="1" applyBorder="1" applyAlignment="1">
      <alignment horizontal="left" vertical="center" wrapText="1"/>
    </xf>
    <xf numFmtId="0" fontId="59" fillId="0" borderId="9" xfId="2" applyFont="1" applyFill="1" applyBorder="1" applyAlignment="1">
      <alignment horizontal="left" vertical="center" wrapText="1"/>
    </xf>
    <xf numFmtId="0" fontId="127" fillId="0" borderId="3" xfId="2" applyFont="1" applyFill="1" applyBorder="1" applyAlignment="1">
      <alignment horizontal="center" vertical="center" wrapText="1"/>
    </xf>
    <xf numFmtId="0" fontId="127" fillId="0" borderId="7" xfId="2" applyFont="1" applyFill="1" applyBorder="1" applyAlignment="1">
      <alignment horizontal="center" vertical="center" wrapText="1"/>
    </xf>
    <xf numFmtId="0" fontId="127" fillId="0" borderId="9" xfId="2" applyFont="1" applyFill="1" applyBorder="1" applyAlignment="1">
      <alignment horizontal="center" vertical="center" wrapText="1"/>
    </xf>
    <xf numFmtId="0" fontId="47" fillId="0" borderId="3" xfId="2" applyFont="1" applyFill="1" applyBorder="1" applyAlignment="1">
      <alignment horizontal="center" vertical="center"/>
    </xf>
    <xf numFmtId="0" fontId="47" fillId="0" borderId="7" xfId="2" applyFont="1" applyFill="1" applyBorder="1" applyAlignment="1">
      <alignment horizontal="center" vertical="center"/>
    </xf>
    <xf numFmtId="0" fontId="47" fillId="0" borderId="9" xfId="2" applyFont="1" applyFill="1" applyBorder="1" applyAlignment="1">
      <alignment horizontal="center" vertical="center"/>
    </xf>
    <xf numFmtId="0" fontId="6" fillId="0" borderId="10" xfId="365" applyFont="1" applyBorder="1" applyAlignment="1">
      <alignment horizontal="center"/>
    </xf>
    <xf numFmtId="0" fontId="59" fillId="0" borderId="10" xfId="2" applyFont="1" applyFill="1" applyBorder="1" applyAlignment="1">
      <alignment horizontal="left" vertical="center" wrapText="1"/>
    </xf>
    <xf numFmtId="0" fontId="127" fillId="0" borderId="10" xfId="2" applyFont="1" applyFill="1" applyBorder="1" applyAlignment="1">
      <alignment horizontal="left" vertical="center" wrapText="1"/>
    </xf>
    <xf numFmtId="0" fontId="47" fillId="0" borderId="10" xfId="2" applyFont="1" applyFill="1" applyBorder="1" applyAlignment="1">
      <alignment horizontal="center" vertical="center"/>
    </xf>
    <xf numFmtId="4" fontId="127" fillId="0" borderId="10" xfId="2" applyNumberFormat="1" applyFont="1" applyFill="1" applyBorder="1" applyAlignment="1">
      <alignment horizontal="center" vertical="center"/>
    </xf>
    <xf numFmtId="0" fontId="127" fillId="0" borderId="2" xfId="2" applyFont="1" applyFill="1" applyBorder="1" applyAlignment="1">
      <alignment horizontal="center" vertical="center" wrapText="1"/>
    </xf>
    <xf numFmtId="0" fontId="127" fillId="0" borderId="4" xfId="2" applyFont="1" applyFill="1" applyBorder="1" applyAlignment="1">
      <alignment horizontal="center" vertical="center" wrapText="1"/>
    </xf>
    <xf numFmtId="0" fontId="127" fillId="0" borderId="5" xfId="2" applyFont="1" applyFill="1" applyBorder="1" applyAlignment="1">
      <alignment horizontal="center" vertical="center" wrapText="1"/>
    </xf>
    <xf numFmtId="0" fontId="59" fillId="0" borderId="10" xfId="2" applyFont="1" applyFill="1" applyBorder="1" applyAlignment="1">
      <alignment horizontal="center" vertical="center" wrapText="1"/>
    </xf>
    <xf numFmtId="0" fontId="127" fillId="0" borderId="3" xfId="2" applyFont="1" applyFill="1" applyBorder="1" applyAlignment="1">
      <alignment horizontal="left" vertical="center" wrapText="1"/>
    </xf>
    <xf numFmtId="0" fontId="127" fillId="0" borderId="7" xfId="2" applyFont="1" applyFill="1" applyBorder="1" applyAlignment="1">
      <alignment horizontal="left" vertical="center" wrapText="1"/>
    </xf>
    <xf numFmtId="0" fontId="127" fillId="0" borderId="9" xfId="2" applyFont="1" applyFill="1" applyBorder="1" applyAlignment="1">
      <alignment horizontal="left" vertical="center" wrapText="1"/>
    </xf>
    <xf numFmtId="0" fontId="47" fillId="0" borderId="0" xfId="365" applyFont="1" applyAlignment="1">
      <alignment horizontal="left" vertical="top" wrapText="1"/>
    </xf>
    <xf numFmtId="0" fontId="127" fillId="0" borderId="0" xfId="365" applyFont="1" applyAlignment="1">
      <alignment horizontal="left" vertical="top" wrapText="1"/>
    </xf>
    <xf numFmtId="0" fontId="47" fillId="0" borderId="0" xfId="365" applyFont="1" applyAlignment="1">
      <alignment horizontal="left" vertical="center" wrapText="1"/>
    </xf>
    <xf numFmtId="0" fontId="46" fillId="0" borderId="0" xfId="1" applyFont="1" applyAlignment="1">
      <alignment horizontal="left" vertical="center" wrapText="1"/>
    </xf>
    <xf numFmtId="0" fontId="127" fillId="0" borderId="0" xfId="365" applyFont="1" applyAlignment="1">
      <alignment horizontal="left" vertical="center" wrapText="1"/>
    </xf>
    <xf numFmtId="0" fontId="47" fillId="0" borderId="3" xfId="2" applyFont="1" applyFill="1" applyBorder="1" applyAlignment="1">
      <alignment horizontal="left" vertical="center" wrapText="1"/>
    </xf>
    <xf numFmtId="0" fontId="47" fillId="0" borderId="9" xfId="2" applyFont="1" applyFill="1" applyBorder="1" applyAlignment="1">
      <alignment horizontal="left" vertical="center" wrapText="1"/>
    </xf>
    <xf numFmtId="3" fontId="127" fillId="0" borderId="3" xfId="2" applyNumberFormat="1" applyFont="1" applyFill="1" applyBorder="1" applyAlignment="1">
      <alignment horizontal="center" vertical="center"/>
    </xf>
    <xf numFmtId="3" fontId="127" fillId="0" borderId="9" xfId="2" applyNumberFormat="1" applyFont="1" applyFill="1" applyBorder="1" applyAlignment="1">
      <alignment horizontal="center" vertical="center"/>
    </xf>
    <xf numFmtId="0" fontId="127" fillId="0" borderId="47" xfId="2" applyFont="1" applyFill="1" applyBorder="1" applyAlignment="1">
      <alignment horizontal="left" vertical="center" wrapText="1"/>
    </xf>
    <xf numFmtId="0" fontId="127" fillId="0" borderId="81" xfId="2" applyFont="1" applyFill="1" applyBorder="1" applyAlignment="1">
      <alignment horizontal="left" vertical="center" wrapText="1"/>
    </xf>
    <xf numFmtId="0" fontId="47" fillId="0" borderId="52" xfId="2" applyFont="1" applyFill="1" applyBorder="1" applyAlignment="1">
      <alignment horizontal="center" vertical="center" wrapText="1"/>
    </xf>
    <xf numFmtId="0" fontId="47" fillId="0" borderId="50" xfId="2" applyFont="1" applyFill="1" applyBorder="1" applyAlignment="1">
      <alignment horizontal="center" vertical="center" wrapText="1"/>
    </xf>
    <xf numFmtId="0" fontId="127" fillId="0" borderId="46" xfId="2" applyFont="1" applyFill="1" applyBorder="1" applyAlignment="1">
      <alignment horizontal="left" vertical="center" wrapText="1"/>
    </xf>
    <xf numFmtId="0" fontId="47" fillId="0" borderId="3" xfId="2" applyFont="1" applyFill="1" applyBorder="1" applyAlignment="1">
      <alignment horizontal="center" vertical="center" wrapText="1"/>
    </xf>
    <xf numFmtId="0" fontId="47" fillId="0" borderId="9" xfId="2" applyFont="1" applyFill="1" applyBorder="1" applyAlignment="1">
      <alignment horizontal="center" vertical="center" wrapText="1"/>
    </xf>
    <xf numFmtId="0" fontId="127" fillId="0" borderId="48" xfId="2" applyFont="1" applyFill="1" applyBorder="1" applyAlignment="1">
      <alignment horizontal="left" vertical="center" wrapText="1"/>
    </xf>
    <xf numFmtId="0" fontId="6" fillId="0" borderId="50" xfId="365" applyFont="1" applyBorder="1" applyAlignment="1">
      <alignment horizontal="center"/>
    </xf>
    <xf numFmtId="0" fontId="47" fillId="0" borderId="7" xfId="2" applyFont="1" applyFill="1" applyBorder="1" applyAlignment="1">
      <alignment horizontal="center" vertical="center" wrapText="1"/>
    </xf>
    <xf numFmtId="0" fontId="5" fillId="0" borderId="94" xfId="1" applyFont="1" applyBorder="1" applyAlignment="1">
      <alignment horizontal="center"/>
    </xf>
    <xf numFmtId="0" fontId="57" fillId="2" borderId="3" xfId="2" applyFont="1" applyFill="1" applyBorder="1" applyAlignment="1">
      <alignment horizontal="center" vertical="center"/>
    </xf>
    <xf numFmtId="0" fontId="57" fillId="2" borderId="9" xfId="2" applyFont="1" applyFill="1" applyBorder="1" applyAlignment="1">
      <alignment horizontal="center" vertical="center"/>
    </xf>
    <xf numFmtId="0" fontId="57" fillId="2" borderId="3" xfId="2" applyFont="1" applyFill="1" applyBorder="1" applyAlignment="1">
      <alignment horizontal="center" vertical="center" wrapText="1"/>
    </xf>
    <xf numFmtId="0" fontId="57" fillId="2" borderId="9" xfId="2" applyFont="1" applyFill="1" applyBorder="1" applyAlignment="1">
      <alignment horizontal="center" vertical="center" wrapText="1"/>
    </xf>
    <xf numFmtId="0" fontId="47" fillId="0" borderId="10" xfId="2" applyFont="1" applyFill="1" applyBorder="1" applyAlignment="1">
      <alignment horizontal="left" vertical="center" wrapText="1"/>
    </xf>
    <xf numFmtId="3" fontId="127" fillId="0" borderId="10" xfId="2" applyNumberFormat="1" applyFont="1" applyFill="1" applyBorder="1" applyAlignment="1">
      <alignment horizontal="center" vertical="center"/>
    </xf>
    <xf numFmtId="0" fontId="47" fillId="0" borderId="10" xfId="2" applyFont="1" applyFill="1" applyBorder="1" applyAlignment="1">
      <alignment horizontal="center" vertical="center" wrapText="1"/>
    </xf>
    <xf numFmtId="0" fontId="47" fillId="0" borderId="10" xfId="2" applyFont="1" applyFill="1" applyBorder="1" applyAlignment="1">
      <alignment vertical="center" wrapText="1"/>
    </xf>
    <xf numFmtId="3" fontId="127" fillId="0" borderId="10" xfId="365" applyNumberFormat="1" applyFont="1" applyFill="1" applyBorder="1" applyAlignment="1">
      <alignment horizontal="center" vertical="center"/>
    </xf>
    <xf numFmtId="3" fontId="127" fillId="0" borderId="10" xfId="2" applyNumberFormat="1" applyFont="1" applyFill="1" applyBorder="1" applyAlignment="1">
      <alignment horizontal="center" vertical="center" wrapText="1"/>
    </xf>
    <xf numFmtId="0" fontId="47" fillId="0" borderId="2" xfId="2" applyFont="1" applyFill="1" applyBorder="1" applyAlignment="1">
      <alignment horizontal="left" vertical="center" wrapText="1"/>
    </xf>
    <xf numFmtId="0" fontId="47" fillId="0" borderId="5" xfId="2" applyFont="1" applyFill="1" applyBorder="1" applyAlignment="1">
      <alignment horizontal="left" vertical="center" wrapText="1"/>
    </xf>
    <xf numFmtId="0" fontId="47" fillId="0" borderId="8" xfId="2" applyFont="1" applyFill="1" applyBorder="1" applyAlignment="1">
      <alignment horizontal="left" vertical="center" wrapText="1"/>
    </xf>
    <xf numFmtId="0" fontId="47" fillId="0" borderId="11" xfId="2" applyFont="1" applyFill="1" applyBorder="1" applyAlignment="1">
      <alignment horizontal="left" vertical="center" wrapText="1"/>
    </xf>
    <xf numFmtId="0" fontId="47" fillId="0" borderId="15" xfId="2" applyFont="1" applyFill="1" applyBorder="1" applyAlignment="1">
      <alignment horizontal="left" vertical="center" wrapText="1"/>
    </xf>
    <xf numFmtId="0" fontId="47" fillId="0" borderId="16" xfId="2" applyFont="1" applyFill="1" applyBorder="1" applyAlignment="1">
      <alignment horizontal="left" vertical="center" wrapText="1"/>
    </xf>
    <xf numFmtId="0" fontId="73" fillId="0" borderId="0" xfId="1" applyFont="1" applyAlignment="1">
      <alignment horizontal="left" vertical="center" wrapText="1"/>
    </xf>
    <xf numFmtId="0" fontId="127" fillId="0" borderId="0" xfId="365" applyFont="1" applyAlignment="1">
      <alignment vertical="center" wrapText="1"/>
    </xf>
    <xf numFmtId="0" fontId="256" fillId="4" borderId="3" xfId="1" applyFont="1" applyFill="1" applyBorder="1" applyAlignment="1">
      <alignment horizontal="center" vertical="center"/>
    </xf>
    <xf numFmtId="0" fontId="256" fillId="4" borderId="9" xfId="1" applyFont="1" applyFill="1" applyBorder="1" applyAlignment="1">
      <alignment horizontal="center" vertical="center"/>
    </xf>
    <xf numFmtId="0" fontId="256" fillId="50" borderId="10" xfId="1" applyFont="1" applyFill="1" applyBorder="1" applyAlignment="1">
      <alignment horizontal="center" vertical="center"/>
    </xf>
    <xf numFmtId="9" fontId="139" fillId="0" borderId="10" xfId="1" applyNumberFormat="1" applyFont="1" applyFill="1" applyBorder="1" applyAlignment="1">
      <alignment horizontal="center" vertical="center"/>
    </xf>
    <xf numFmtId="0" fontId="59" fillId="0" borderId="0" xfId="365" applyFont="1" applyAlignment="1">
      <alignment horizontal="left" vertical="center" wrapText="1"/>
    </xf>
    <xf numFmtId="0" fontId="59" fillId="0" borderId="2" xfId="2" applyFont="1" applyFill="1" applyBorder="1" applyAlignment="1">
      <alignment horizontal="left" vertical="center" wrapText="1"/>
    </xf>
    <xf numFmtId="0" fontId="59" fillId="0" borderId="5" xfId="2" applyFont="1" applyFill="1" applyBorder="1" applyAlignment="1">
      <alignment horizontal="left" vertical="center" wrapText="1"/>
    </xf>
    <xf numFmtId="0" fontId="59" fillId="0" borderId="10" xfId="2" applyFont="1" applyFill="1" applyBorder="1" applyAlignment="1">
      <alignment horizontal="center" vertical="center"/>
    </xf>
    <xf numFmtId="4" fontId="59" fillId="0" borderId="10" xfId="2" applyNumberFormat="1" applyFont="1" applyFill="1" applyBorder="1" applyAlignment="1">
      <alignment horizontal="center" vertical="center"/>
    </xf>
    <xf numFmtId="0" fontId="59" fillId="0" borderId="8" xfId="2" applyFont="1" applyFill="1" applyBorder="1" applyAlignment="1">
      <alignment horizontal="left" vertical="center" wrapText="1"/>
    </xf>
    <xf numFmtId="0" fontId="59" fillId="0" borderId="11" xfId="2" applyFont="1" applyFill="1" applyBorder="1" applyAlignment="1">
      <alignment horizontal="left" vertical="center" wrapText="1"/>
    </xf>
    <xf numFmtId="0" fontId="59" fillId="0" borderId="15" xfId="2" applyFont="1" applyFill="1" applyBorder="1" applyAlignment="1">
      <alignment horizontal="left" vertical="center" wrapText="1"/>
    </xf>
    <xf numFmtId="0" fontId="59" fillId="0" borderId="16" xfId="2" applyFont="1" applyFill="1" applyBorder="1" applyAlignment="1">
      <alignment horizontal="left" vertical="center" wrapText="1"/>
    </xf>
    <xf numFmtId="0" fontId="58" fillId="0" borderId="0" xfId="1" applyFont="1" applyAlignment="1">
      <alignment horizontal="left" vertical="center" wrapText="1"/>
    </xf>
    <xf numFmtId="0" fontId="59" fillId="0" borderId="0" xfId="365" applyFont="1" applyAlignment="1">
      <alignment horizontal="left" vertical="top" wrapText="1"/>
    </xf>
    <xf numFmtId="0" fontId="59" fillId="0" borderId="0" xfId="365" applyFont="1" applyAlignment="1">
      <alignment horizontal="left" wrapText="1"/>
    </xf>
    <xf numFmtId="0" fontId="59" fillId="0" borderId="3" xfId="2" applyFont="1" applyFill="1" applyBorder="1" applyAlignment="1">
      <alignment horizontal="center" vertical="center" wrapText="1"/>
    </xf>
    <xf numFmtId="0" fontId="59" fillId="0" borderId="9" xfId="2" applyFont="1" applyFill="1" applyBorder="1" applyAlignment="1">
      <alignment horizontal="center" vertical="center" wrapText="1"/>
    </xf>
    <xf numFmtId="0" fontId="59" fillId="0" borderId="3" xfId="2" applyFont="1" applyFill="1" applyBorder="1" applyAlignment="1">
      <alignment horizontal="center" vertical="center"/>
    </xf>
    <xf numFmtId="0" fontId="59" fillId="0" borderId="9" xfId="2" applyFont="1" applyFill="1" applyBorder="1" applyAlignment="1">
      <alignment horizontal="center" vertical="center"/>
    </xf>
    <xf numFmtId="3" fontId="59" fillId="0" borderId="3" xfId="365" applyNumberFormat="1" applyFont="1" applyFill="1" applyBorder="1" applyAlignment="1">
      <alignment horizontal="center" vertical="center" wrapText="1"/>
    </xf>
    <xf numFmtId="3" fontId="59" fillId="0" borderId="9" xfId="365" applyNumberFormat="1" applyFont="1" applyFill="1" applyBorder="1" applyAlignment="1">
      <alignment horizontal="center" vertical="center" wrapText="1"/>
    </xf>
    <xf numFmtId="0" fontId="59" fillId="0" borderId="7" xfId="2" applyFont="1" applyFill="1" applyBorder="1" applyAlignment="1">
      <alignment horizontal="center" vertical="center" wrapText="1"/>
    </xf>
    <xf numFmtId="4" fontId="59" fillId="0" borderId="10" xfId="2" applyNumberFormat="1" applyFont="1" applyFill="1" applyBorder="1" applyAlignment="1">
      <alignment horizontal="center" vertical="center" wrapText="1"/>
    </xf>
    <xf numFmtId="0" fontId="11" fillId="0" borderId="94" xfId="1" applyFont="1" applyBorder="1" applyAlignment="1">
      <alignment horizontal="center"/>
    </xf>
    <xf numFmtId="0" fontId="58" fillId="2" borderId="3" xfId="2" applyFont="1" applyFill="1" applyBorder="1" applyAlignment="1">
      <alignment horizontal="center" vertical="center"/>
    </xf>
    <xf numFmtId="0" fontId="58" fillId="2" borderId="7" xfId="2" applyFont="1" applyFill="1" applyBorder="1" applyAlignment="1">
      <alignment horizontal="center" vertical="center"/>
    </xf>
    <xf numFmtId="0" fontId="58" fillId="2" borderId="3" xfId="2" applyFont="1" applyFill="1" applyBorder="1" applyAlignment="1">
      <alignment horizontal="center" vertical="center" wrapText="1"/>
    </xf>
    <xf numFmtId="0" fontId="58" fillId="2" borderId="7" xfId="2" applyFont="1" applyFill="1" applyBorder="1" applyAlignment="1">
      <alignment horizontal="center" vertical="center" wrapText="1"/>
    </xf>
    <xf numFmtId="0" fontId="58" fillId="2" borderId="9" xfId="2" applyFont="1" applyFill="1" applyBorder="1" applyAlignment="1">
      <alignment horizontal="center" vertical="center" wrapText="1"/>
    </xf>
    <xf numFmtId="0" fontId="72" fillId="0" borderId="12" xfId="384" applyFont="1" applyFill="1" applyBorder="1" applyAlignment="1">
      <alignment horizontal="center" vertical="center" wrapText="1"/>
    </xf>
    <xf numFmtId="0" fontId="72" fillId="50" borderId="10" xfId="384" applyFont="1" applyFill="1" applyBorder="1" applyAlignment="1">
      <alignment horizontal="center" vertical="center"/>
    </xf>
    <xf numFmtId="0" fontId="57" fillId="50" borderId="10" xfId="384" applyFont="1" applyFill="1" applyBorder="1" applyAlignment="1">
      <alignment horizontal="center" vertical="center"/>
    </xf>
    <xf numFmtId="0" fontId="72" fillId="50" borderId="2" xfId="384" applyFont="1" applyFill="1" applyBorder="1" applyAlignment="1">
      <alignment horizontal="center" vertical="center"/>
    </xf>
    <xf numFmtId="0" fontId="72" fillId="50" borderId="4" xfId="384" applyFont="1" applyFill="1" applyBorder="1" applyAlignment="1">
      <alignment horizontal="center" vertical="center"/>
    </xf>
    <xf numFmtId="0" fontId="72" fillId="50" borderId="5" xfId="384" applyFont="1" applyFill="1" applyBorder="1" applyAlignment="1">
      <alignment horizontal="center" vertical="center"/>
    </xf>
    <xf numFmtId="0" fontId="72" fillId="50" borderId="10" xfId="384" applyFont="1" applyFill="1" applyBorder="1" applyAlignment="1">
      <alignment horizontal="center"/>
    </xf>
    <xf numFmtId="9" fontId="72" fillId="50" borderId="10" xfId="384" applyNumberFormat="1" applyFont="1" applyFill="1" applyBorder="1" applyAlignment="1">
      <alignment horizontal="center" vertical="center"/>
    </xf>
    <xf numFmtId="0" fontId="72" fillId="50" borderId="3" xfId="384" applyFont="1" applyFill="1" applyBorder="1" applyAlignment="1">
      <alignment horizontal="center" vertical="center" wrapText="1"/>
    </xf>
    <xf numFmtId="0" fontId="31" fillId="0" borderId="90" xfId="384" applyFont="1" applyFill="1" applyBorder="1" applyAlignment="1">
      <alignment horizontal="center"/>
    </xf>
    <xf numFmtId="0" fontId="52" fillId="52" borderId="2" xfId="0" applyFont="1" applyFill="1" applyBorder="1" applyAlignment="1">
      <alignment horizontal="center" vertical="center" wrapText="1"/>
    </xf>
    <xf numFmtId="0" fontId="52" fillId="52" borderId="4" xfId="0" applyFont="1" applyFill="1" applyBorder="1" applyAlignment="1">
      <alignment horizontal="center" vertical="center" wrapText="1"/>
    </xf>
    <xf numFmtId="0" fontId="52" fillId="52" borderId="5" xfId="0" applyFont="1" applyFill="1" applyBorder="1" applyAlignment="1">
      <alignment horizontal="center" vertical="center" wrapText="1"/>
    </xf>
    <xf numFmtId="0" fontId="6" fillId="0" borderId="2" xfId="386" applyFont="1" applyFill="1" applyBorder="1" applyAlignment="1">
      <alignment horizontal="center" vertical="center" wrapText="1"/>
    </xf>
    <xf numFmtId="0" fontId="6" fillId="0" borderId="5" xfId="386" applyFont="1" applyFill="1" applyBorder="1" applyAlignment="1">
      <alignment horizontal="center" vertical="center" wrapText="1"/>
    </xf>
    <xf numFmtId="0" fontId="6" fillId="0" borderId="10" xfId="386" applyFont="1" applyFill="1" applyBorder="1" applyAlignment="1">
      <alignment horizontal="center" vertical="center" wrapText="1"/>
    </xf>
    <xf numFmtId="0" fontId="52" fillId="52" borderId="10" xfId="0" applyFont="1" applyFill="1" applyBorder="1" applyAlignment="1">
      <alignment horizontal="center" vertical="center"/>
    </xf>
    <xf numFmtId="14" fontId="74" fillId="0" borderId="0" xfId="385" applyNumberFormat="1" applyFont="1" applyBorder="1" applyAlignment="1">
      <alignment horizontal="center" vertical="center"/>
    </xf>
    <xf numFmtId="0" fontId="57" fillId="42" borderId="10" xfId="386" applyFont="1" applyFill="1" applyBorder="1" applyAlignment="1">
      <alignment horizontal="center" vertical="center" wrapText="1"/>
    </xf>
    <xf numFmtId="0" fontId="57" fillId="42" borderId="2" xfId="386" applyFont="1" applyFill="1" applyBorder="1" applyAlignment="1">
      <alignment horizontal="center" vertical="center" wrapText="1"/>
    </xf>
    <xf numFmtId="0" fontId="57" fillId="42" borderId="4" xfId="386" applyFont="1" applyFill="1" applyBorder="1" applyAlignment="1">
      <alignment horizontal="center" vertical="center" wrapText="1"/>
    </xf>
    <xf numFmtId="0" fontId="57" fillId="42" borderId="5" xfId="386" applyFont="1" applyFill="1" applyBorder="1" applyAlignment="1">
      <alignment horizontal="center" vertical="center" wrapText="1"/>
    </xf>
    <xf numFmtId="0" fontId="69" fillId="0" borderId="0" xfId="277" applyFont="1" applyFill="1" applyBorder="1" applyAlignment="1">
      <alignment horizontal="center"/>
    </xf>
    <xf numFmtId="0" fontId="52" fillId="52" borderId="10" xfId="0" applyFont="1" applyFill="1" applyBorder="1" applyAlignment="1">
      <alignment horizontal="center" vertical="center" wrapText="1"/>
    </xf>
    <xf numFmtId="0" fontId="6" fillId="0" borderId="10" xfId="386" applyFont="1" applyFill="1" applyBorder="1" applyAlignment="1">
      <alignment horizontal="center" vertical="center"/>
    </xf>
    <xf numFmtId="172" fontId="2" fillId="0" borderId="3" xfId="0" applyNumberFormat="1" applyFont="1" applyFill="1" applyBorder="1" applyAlignment="1">
      <alignment horizontal="center" vertical="center" wrapText="1"/>
    </xf>
    <xf numFmtId="172" fontId="2" fillId="0" borderId="7" xfId="0" applyNumberFormat="1" applyFont="1" applyFill="1" applyBorder="1" applyAlignment="1">
      <alignment horizontal="center" vertical="center" wrapText="1"/>
    </xf>
    <xf numFmtId="172" fontId="2" fillId="0" borderId="9" xfId="0" applyNumberFormat="1" applyFont="1" applyFill="1" applyBorder="1" applyAlignment="1">
      <alignment horizontal="center" vertical="center" wrapText="1"/>
    </xf>
    <xf numFmtId="0" fontId="6" fillId="0" borderId="3" xfId="386" applyFont="1" applyFill="1" applyBorder="1" applyAlignment="1">
      <alignment horizontal="center" vertical="center"/>
    </xf>
    <xf numFmtId="0" fontId="6" fillId="0" borderId="7" xfId="386" applyFont="1" applyFill="1" applyBorder="1" applyAlignment="1">
      <alignment horizontal="center" vertical="center"/>
    </xf>
    <xf numFmtId="0" fontId="6" fillId="0" borderId="9" xfId="386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 wrapText="1"/>
    </xf>
    <xf numFmtId="0" fontId="2" fillId="0" borderId="7" xfId="0" applyFont="1" applyFill="1" applyBorder="1" applyAlignment="1">
      <alignment horizontal="center" vertical="center" wrapText="1"/>
    </xf>
    <xf numFmtId="0" fontId="2" fillId="0" borderId="9" xfId="0" applyFont="1" applyFill="1" applyBorder="1" applyAlignment="1">
      <alignment horizontal="center" vertical="center" wrapText="1"/>
    </xf>
    <xf numFmtId="0" fontId="6" fillId="0" borderId="3" xfId="386" applyFont="1" applyFill="1" applyBorder="1" applyAlignment="1">
      <alignment horizontal="center" vertical="center" wrapText="1"/>
    </xf>
    <xf numFmtId="0" fontId="6" fillId="0" borderId="7" xfId="386" applyFont="1" applyFill="1" applyBorder="1" applyAlignment="1">
      <alignment horizontal="center" vertical="center" wrapText="1"/>
    </xf>
    <xf numFmtId="0" fontId="6" fillId="0" borderId="9" xfId="386" applyFont="1" applyFill="1" applyBorder="1" applyAlignment="1">
      <alignment horizontal="center" vertical="center" wrapText="1"/>
    </xf>
    <xf numFmtId="0" fontId="6" fillId="0" borderId="8" xfId="386" applyFont="1" applyFill="1" applyBorder="1" applyAlignment="1">
      <alignment horizontal="center" vertical="center" wrapText="1"/>
    </xf>
    <xf numFmtId="0" fontId="6" fillId="0" borderId="11" xfId="386" applyFont="1" applyFill="1" applyBorder="1" applyAlignment="1">
      <alignment horizontal="center" vertical="center" wrapText="1"/>
    </xf>
    <xf numFmtId="0" fontId="6" fillId="0" borderId="15" xfId="386" applyFont="1" applyFill="1" applyBorder="1" applyAlignment="1">
      <alignment horizontal="center" vertical="center" wrapText="1"/>
    </xf>
    <xf numFmtId="0" fontId="6" fillId="0" borderId="16" xfId="386" applyFont="1" applyFill="1" applyBorder="1" applyAlignment="1">
      <alignment horizontal="center" vertical="center" wrapText="1"/>
    </xf>
    <xf numFmtId="0" fontId="2" fillId="0" borderId="10" xfId="0" applyFont="1" applyBorder="1" applyAlignment="1">
      <alignment horizontal="left" vertical="center" wrapText="1"/>
    </xf>
    <xf numFmtId="0" fontId="2" fillId="0" borderId="10" xfId="0" applyFont="1" applyBorder="1" applyAlignment="1">
      <alignment horizontal="center" vertical="center" wrapText="1"/>
    </xf>
    <xf numFmtId="0" fontId="52" fillId="0" borderId="10" xfId="0" applyFont="1" applyFill="1" applyBorder="1" applyAlignment="1">
      <alignment horizontal="center" vertical="center"/>
    </xf>
    <xf numFmtId="0" fontId="6" fillId="0" borderId="10" xfId="277" applyFont="1" applyBorder="1" applyAlignment="1">
      <alignment horizontal="center" vertical="center" wrapText="1"/>
    </xf>
    <xf numFmtId="0" fontId="6" fillId="0" borderId="10" xfId="277" applyFont="1" applyFill="1" applyBorder="1" applyAlignment="1">
      <alignment vertical="center" wrapText="1"/>
    </xf>
    <xf numFmtId="0" fontId="2" fillId="0" borderId="2" xfId="0" applyFont="1" applyFill="1" applyBorder="1" applyAlignment="1">
      <alignment horizontal="left" vertical="center" wrapText="1"/>
    </xf>
    <xf numFmtId="0" fontId="2" fillId="0" borderId="5" xfId="0" applyFont="1" applyFill="1" applyBorder="1" applyAlignment="1">
      <alignment horizontal="left" vertical="center" wrapText="1"/>
    </xf>
    <xf numFmtId="0" fontId="2" fillId="0" borderId="2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6" fillId="0" borderId="8" xfId="277" applyFont="1" applyBorder="1" applyAlignment="1">
      <alignment horizontal="left" vertical="center" wrapText="1"/>
    </xf>
    <xf numFmtId="0" fontId="6" fillId="0" borderId="11" xfId="277" applyFont="1" applyBorder="1" applyAlignment="1">
      <alignment horizontal="left" vertical="center" wrapText="1"/>
    </xf>
    <xf numFmtId="0" fontId="6" fillId="0" borderId="15" xfId="277" applyFont="1" applyBorder="1" applyAlignment="1">
      <alignment horizontal="left" vertical="center" wrapText="1"/>
    </xf>
    <xf numFmtId="0" fontId="6" fillId="0" borderId="16" xfId="277" applyFont="1" applyBorder="1" applyAlignment="1">
      <alignment horizontal="left" vertical="center" wrapText="1"/>
    </xf>
    <xf numFmtId="0" fontId="73" fillId="0" borderId="0" xfId="277" applyFont="1" applyBorder="1" applyAlignment="1">
      <alignment horizontal="center"/>
    </xf>
    <xf numFmtId="0" fontId="57" fillId="42" borderId="10" xfId="277" applyFont="1" applyFill="1" applyBorder="1" applyAlignment="1">
      <alignment horizontal="center" vertical="center" wrapText="1"/>
    </xf>
    <xf numFmtId="0" fontId="52" fillId="57" borderId="2" xfId="0" applyFont="1" applyFill="1" applyBorder="1" applyAlignment="1">
      <alignment horizontal="center" vertical="center"/>
    </xf>
    <xf numFmtId="0" fontId="52" fillId="57" borderId="5" xfId="0" applyFont="1" applyFill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72" fillId="3" borderId="2" xfId="384" applyFont="1" applyFill="1" applyBorder="1" applyAlignment="1">
      <alignment horizontal="center"/>
    </xf>
    <xf numFmtId="0" fontId="72" fillId="3" borderId="4" xfId="384" applyFont="1" applyFill="1" applyBorder="1" applyAlignment="1">
      <alignment horizontal="center"/>
    </xf>
    <xf numFmtId="0" fontId="72" fillId="3" borderId="5" xfId="384" applyFont="1" applyFill="1" applyBorder="1" applyAlignment="1">
      <alignment horizontal="center"/>
    </xf>
    <xf numFmtId="0" fontId="74" fillId="0" borderId="10" xfId="275" applyFont="1" applyBorder="1" applyAlignment="1">
      <alignment vertical="center" wrapText="1"/>
    </xf>
    <xf numFmtId="0" fontId="73" fillId="0" borderId="0" xfId="388" applyFont="1" applyBorder="1" applyAlignment="1">
      <alignment horizontal="center" vertical="center"/>
    </xf>
    <xf numFmtId="14" fontId="74" fillId="0" borderId="0" xfId="371" applyNumberFormat="1" applyFont="1" applyFill="1" applyBorder="1" applyAlignment="1">
      <alignment horizontal="center" wrapText="1"/>
    </xf>
    <xf numFmtId="0" fontId="72" fillId="42" borderId="10" xfId="388" applyFont="1" applyFill="1" applyBorder="1" applyAlignment="1">
      <alignment horizontal="center" vertical="center" wrapText="1"/>
    </xf>
    <xf numFmtId="0" fontId="74" fillId="0" borderId="10" xfId="345" applyFont="1" applyFill="1" applyBorder="1" applyAlignment="1">
      <alignment horizontal="center" vertical="center" wrapText="1"/>
    </xf>
    <xf numFmtId="0" fontId="72" fillId="42" borderId="4" xfId="388" applyFont="1" applyFill="1" applyBorder="1" applyAlignment="1">
      <alignment horizontal="center" vertical="center" wrapText="1"/>
    </xf>
    <xf numFmtId="0" fontId="72" fillId="42" borderId="75" xfId="388" applyFont="1" applyFill="1" applyBorder="1" applyAlignment="1">
      <alignment horizontal="center" vertical="center" wrapText="1"/>
    </xf>
    <xf numFmtId="0" fontId="72" fillId="42" borderId="12" xfId="388" applyFont="1" applyFill="1" applyBorder="1" applyAlignment="1">
      <alignment horizontal="center" vertical="center" wrapText="1"/>
    </xf>
    <xf numFmtId="0" fontId="74" fillId="0" borderId="10" xfId="275" applyFont="1" applyFill="1" applyBorder="1" applyAlignment="1">
      <alignment vertical="center" wrapText="1"/>
    </xf>
    <xf numFmtId="0" fontId="52" fillId="0" borderId="2" xfId="0" applyFont="1" applyFill="1" applyBorder="1" applyAlignment="1">
      <alignment horizontal="center" vertical="center"/>
    </xf>
    <xf numFmtId="0" fontId="52" fillId="0" borderId="5" xfId="0" applyFont="1" applyFill="1" applyBorder="1" applyAlignment="1">
      <alignment horizontal="center" vertical="center"/>
    </xf>
    <xf numFmtId="0" fontId="6" fillId="0" borderId="2" xfId="384" applyFont="1" applyFill="1" applyBorder="1" applyAlignment="1">
      <alignment horizontal="center" vertical="center"/>
    </xf>
    <xf numFmtId="0" fontId="6" fillId="0" borderId="4" xfId="384" applyFont="1" applyFill="1" applyBorder="1" applyAlignment="1">
      <alignment horizontal="center" vertical="center"/>
    </xf>
    <xf numFmtId="0" fontId="6" fillId="0" borderId="5" xfId="384" applyFont="1" applyFill="1" applyBorder="1" applyAlignment="1">
      <alignment horizontal="center" vertical="center"/>
    </xf>
    <xf numFmtId="0" fontId="74" fillId="0" borderId="10" xfId="275" applyFont="1" applyBorder="1" applyAlignment="1">
      <alignment vertical="center"/>
    </xf>
    <xf numFmtId="0" fontId="73" fillId="0" borderId="1" xfId="388" applyFont="1" applyBorder="1" applyAlignment="1">
      <alignment horizontal="center"/>
    </xf>
    <xf numFmtId="0" fontId="6" fillId="0" borderId="10" xfId="277" applyFont="1" applyFill="1" applyBorder="1" applyAlignment="1">
      <alignment horizontal="left" vertical="center" wrapText="1"/>
    </xf>
    <xf numFmtId="0" fontId="6" fillId="0" borderId="2" xfId="277" applyFont="1" applyFill="1" applyBorder="1" applyAlignment="1">
      <alignment horizontal="center" vertical="center" wrapText="1"/>
    </xf>
    <xf numFmtId="0" fontId="6" fillId="0" borderId="4" xfId="277" applyFont="1" applyFill="1" applyBorder="1" applyAlignment="1">
      <alignment horizontal="center" vertical="center" wrapText="1"/>
    </xf>
    <xf numFmtId="0" fontId="6" fillId="0" borderId="5" xfId="277" applyFont="1" applyFill="1" applyBorder="1" applyAlignment="1">
      <alignment horizontal="center" vertical="center" wrapText="1"/>
    </xf>
    <xf numFmtId="0" fontId="6" fillId="0" borderId="2" xfId="277" applyFont="1" applyBorder="1" applyAlignment="1">
      <alignment horizontal="center" vertical="center" wrapText="1"/>
    </xf>
    <xf numFmtId="0" fontId="6" fillId="0" borderId="5" xfId="277" applyFont="1" applyBorder="1" applyAlignment="1">
      <alignment horizontal="center" vertical="center" wrapText="1"/>
    </xf>
    <xf numFmtId="0" fontId="6" fillId="0" borderId="10" xfId="277" applyFont="1" applyFill="1" applyBorder="1" applyAlignment="1">
      <alignment horizontal="center" vertical="center" wrapText="1"/>
    </xf>
    <xf numFmtId="0" fontId="57" fillId="3" borderId="2" xfId="277" applyFont="1" applyFill="1" applyBorder="1" applyAlignment="1">
      <alignment horizontal="center" vertical="center" wrapText="1"/>
    </xf>
    <xf numFmtId="0" fontId="57" fillId="3" borderId="4" xfId="277" applyFont="1" applyFill="1" applyBorder="1" applyAlignment="1">
      <alignment horizontal="center" vertical="center" wrapText="1"/>
    </xf>
    <xf numFmtId="0" fontId="57" fillId="3" borderId="5" xfId="277" applyFont="1" applyFill="1" applyBorder="1" applyAlignment="1">
      <alignment horizontal="center" vertical="center" wrapText="1"/>
    </xf>
    <xf numFmtId="0" fontId="2" fillId="0" borderId="10" xfId="0" applyFont="1" applyFill="1" applyBorder="1" applyAlignment="1">
      <alignment horizontal="left" vertical="center"/>
    </xf>
    <xf numFmtId="0" fontId="6" fillId="0" borderId="10" xfId="277" applyFont="1" applyFill="1" applyBorder="1" applyAlignment="1">
      <alignment horizontal="left" vertical="center"/>
    </xf>
    <xf numFmtId="0" fontId="2" fillId="0" borderId="10" xfId="0" applyFont="1" applyFill="1" applyBorder="1" applyAlignment="1">
      <alignment horizontal="center" vertical="center" wrapText="1"/>
    </xf>
    <xf numFmtId="0" fontId="57" fillId="0" borderId="2" xfId="384" applyFont="1" applyFill="1" applyBorder="1" applyAlignment="1">
      <alignment horizontal="center" vertical="center"/>
    </xf>
    <xf numFmtId="0" fontId="57" fillId="0" borderId="5" xfId="384" applyFont="1" applyFill="1" applyBorder="1" applyAlignment="1">
      <alignment horizontal="center" vertical="center"/>
    </xf>
    <xf numFmtId="0" fontId="6" fillId="0" borderId="3" xfId="277" applyFont="1" applyBorder="1" applyAlignment="1">
      <alignment horizontal="center" vertical="center" wrapText="1"/>
    </xf>
    <xf numFmtId="0" fontId="6" fillId="0" borderId="9" xfId="277" applyFont="1" applyBorder="1" applyAlignment="1">
      <alignment horizontal="center" vertical="center" wrapText="1"/>
    </xf>
    <xf numFmtId="0" fontId="57" fillId="0" borderId="10" xfId="384" applyFont="1" applyFill="1" applyBorder="1" applyAlignment="1">
      <alignment horizontal="center" vertical="center"/>
    </xf>
    <xf numFmtId="0" fontId="6" fillId="0" borderId="8" xfId="277" applyFont="1" applyFill="1" applyBorder="1" applyAlignment="1">
      <alignment horizontal="left" vertical="center" wrapText="1"/>
    </xf>
    <xf numFmtId="0" fontId="6" fillId="0" borderId="11" xfId="277" applyFont="1" applyFill="1" applyBorder="1" applyAlignment="1">
      <alignment horizontal="left" vertical="center" wrapText="1"/>
    </xf>
    <xf numFmtId="0" fontId="6" fillId="0" borderId="15" xfId="277" applyFont="1" applyFill="1" applyBorder="1" applyAlignment="1">
      <alignment horizontal="left" vertical="center" wrapText="1"/>
    </xf>
    <xf numFmtId="0" fontId="6" fillId="0" borderId="16" xfId="277" applyFont="1" applyFill="1" applyBorder="1" applyAlignment="1">
      <alignment horizontal="left" vertical="center" wrapText="1"/>
    </xf>
    <xf numFmtId="0" fontId="2" fillId="0" borderId="2" xfId="0" applyFont="1" applyFill="1" applyBorder="1" applyAlignment="1">
      <alignment vertical="center" wrapText="1"/>
    </xf>
    <xf numFmtId="0" fontId="2" fillId="0" borderId="5" xfId="0" applyFont="1" applyFill="1" applyBorder="1" applyAlignment="1">
      <alignment vertical="center" wrapText="1"/>
    </xf>
    <xf numFmtId="0" fontId="2" fillId="0" borderId="10" xfId="0" applyFont="1" applyFill="1" applyBorder="1" applyAlignment="1">
      <alignment vertical="center" wrapText="1"/>
    </xf>
    <xf numFmtId="0" fontId="78" fillId="0" borderId="0" xfId="0" applyFont="1" applyAlignment="1">
      <alignment horizontal="left" vertical="center" wrapText="1"/>
    </xf>
    <xf numFmtId="1" fontId="6" fillId="0" borderId="2" xfId="282" applyNumberFormat="1" applyFont="1" applyFill="1" applyBorder="1" applyAlignment="1">
      <alignment horizontal="center" vertical="center" wrapText="1"/>
    </xf>
    <xf numFmtId="1" fontId="6" fillId="0" borderId="4" xfId="282" applyNumberFormat="1" applyFont="1" applyFill="1" applyBorder="1" applyAlignment="1">
      <alignment horizontal="center" vertical="center" wrapText="1"/>
    </xf>
    <xf numFmtId="1" fontId="6" fillId="0" borderId="5" xfId="282" applyNumberFormat="1" applyFont="1" applyFill="1" applyBorder="1" applyAlignment="1">
      <alignment horizontal="center" vertical="center" wrapText="1"/>
    </xf>
    <xf numFmtId="172" fontId="268" fillId="0" borderId="2" xfId="282" applyNumberFormat="1" applyFont="1" applyFill="1" applyBorder="1" applyAlignment="1">
      <alignment horizontal="left" vertical="center" wrapText="1"/>
    </xf>
    <xf numFmtId="172" fontId="268" fillId="0" borderId="4" xfId="282" applyNumberFormat="1" applyFont="1" applyFill="1" applyBorder="1" applyAlignment="1">
      <alignment horizontal="left" vertical="center" wrapText="1"/>
    </xf>
    <xf numFmtId="172" fontId="268" fillId="0" borderId="5" xfId="282" applyNumberFormat="1" applyFont="1" applyFill="1" applyBorder="1" applyAlignment="1">
      <alignment horizontal="left" vertical="center" wrapText="1"/>
    </xf>
    <xf numFmtId="0" fontId="46" fillId="62" borderId="10" xfId="282" applyFont="1" applyFill="1" applyBorder="1" applyAlignment="1">
      <alignment horizontal="left" vertical="center" wrapText="1"/>
    </xf>
    <xf numFmtId="172" fontId="6" fillId="0" borderId="3" xfId="282" applyNumberFormat="1" applyFont="1" applyFill="1" applyBorder="1" applyAlignment="1">
      <alignment horizontal="left" vertical="center" wrapText="1"/>
    </xf>
    <xf numFmtId="172" fontId="6" fillId="0" borderId="9" xfId="282" applyNumberFormat="1" applyFont="1" applyFill="1" applyBorder="1" applyAlignment="1">
      <alignment horizontal="left" vertical="center" wrapText="1"/>
    </xf>
    <xf numFmtId="172" fontId="74" fillId="0" borderId="10" xfId="282" applyNumberFormat="1" applyFont="1" applyFill="1" applyBorder="1" applyAlignment="1">
      <alignment horizontal="center" vertical="center"/>
    </xf>
    <xf numFmtId="172" fontId="6" fillId="0" borderId="10" xfId="282" applyNumberFormat="1" applyFont="1" applyFill="1" applyBorder="1" applyAlignment="1">
      <alignment horizontal="center" vertical="center"/>
    </xf>
    <xf numFmtId="1" fontId="6" fillId="0" borderId="10" xfId="282" applyNumberFormat="1" applyFont="1" applyFill="1" applyBorder="1" applyAlignment="1">
      <alignment horizontal="center" vertical="center" wrapText="1"/>
    </xf>
    <xf numFmtId="172" fontId="74" fillId="0" borderId="3" xfId="282" applyNumberFormat="1" applyFont="1" applyFill="1" applyBorder="1" applyAlignment="1">
      <alignment horizontal="center" vertical="center"/>
    </xf>
    <xf numFmtId="172" fontId="74" fillId="0" borderId="9" xfId="282" applyNumberFormat="1" applyFont="1" applyFill="1" applyBorder="1" applyAlignment="1">
      <alignment horizontal="center" vertical="center"/>
    </xf>
    <xf numFmtId="172" fontId="6" fillId="0" borderId="3" xfId="282" applyNumberFormat="1" applyFont="1" applyFill="1" applyBorder="1" applyAlignment="1">
      <alignment horizontal="center" vertical="center"/>
    </xf>
    <xf numFmtId="172" fontId="6" fillId="0" borderId="9" xfId="282" applyNumberFormat="1" applyFont="1" applyFill="1" applyBorder="1" applyAlignment="1">
      <alignment horizontal="center" vertical="center"/>
    </xf>
    <xf numFmtId="1" fontId="6" fillId="0" borderId="8" xfId="282" applyNumberFormat="1" applyFont="1" applyFill="1" applyBorder="1" applyAlignment="1">
      <alignment horizontal="center" vertical="center" wrapText="1"/>
    </xf>
    <xf numFmtId="1" fontId="6" fillId="0" borderId="12" xfId="282" applyNumberFormat="1" applyFont="1" applyFill="1" applyBorder="1" applyAlignment="1">
      <alignment horizontal="center" vertical="center" wrapText="1"/>
    </xf>
    <xf numFmtId="1" fontId="6" fillId="0" borderId="11" xfId="282" applyNumberFormat="1" applyFont="1" applyFill="1" applyBorder="1" applyAlignment="1">
      <alignment horizontal="center" vertical="center" wrapText="1"/>
    </xf>
    <xf numFmtId="1" fontId="6" fillId="0" borderId="15" xfId="282" applyNumberFormat="1" applyFont="1" applyFill="1" applyBorder="1" applyAlignment="1">
      <alignment horizontal="center" vertical="center" wrapText="1"/>
    </xf>
    <xf numFmtId="1" fontId="6" fillId="0" borderId="1" xfId="282" applyNumberFormat="1" applyFont="1" applyFill="1" applyBorder="1" applyAlignment="1">
      <alignment horizontal="center" vertical="center" wrapText="1"/>
    </xf>
    <xf numFmtId="1" fontId="6" fillId="0" borderId="16" xfId="282" applyNumberFormat="1" applyFont="1" applyFill="1" applyBorder="1" applyAlignment="1">
      <alignment horizontal="center" vertical="center" wrapText="1"/>
    </xf>
    <xf numFmtId="172" fontId="6" fillId="0" borderId="2" xfId="282" applyNumberFormat="1" applyFont="1" applyFill="1" applyBorder="1" applyAlignment="1">
      <alignment horizontal="left" vertical="center" wrapText="1"/>
    </xf>
    <xf numFmtId="172" fontId="6" fillId="0" borderId="4" xfId="282" applyNumberFormat="1" applyFont="1" applyFill="1" applyBorder="1" applyAlignment="1">
      <alignment horizontal="left" vertical="center" wrapText="1"/>
    </xf>
    <xf numFmtId="172" fontId="6" fillId="0" borderId="5" xfId="282" applyNumberFormat="1" applyFont="1" applyFill="1" applyBorder="1" applyAlignment="1">
      <alignment horizontal="left" vertical="center" wrapText="1"/>
    </xf>
    <xf numFmtId="172" fontId="6" fillId="0" borderId="3" xfId="282" applyNumberFormat="1" applyFont="1" applyFill="1" applyBorder="1" applyAlignment="1">
      <alignment horizontal="center" vertical="center" wrapText="1"/>
    </xf>
    <xf numFmtId="172" fontId="6" fillId="0" borderId="9" xfId="282" applyNumberFormat="1" applyFont="1" applyFill="1" applyBorder="1" applyAlignment="1">
      <alignment horizontal="center" vertical="center" wrapText="1"/>
    </xf>
    <xf numFmtId="172" fontId="74" fillId="0" borderId="3" xfId="282" applyNumberFormat="1" applyFont="1" applyFill="1" applyBorder="1" applyAlignment="1">
      <alignment horizontal="center" vertical="center" wrapText="1"/>
    </xf>
    <xf numFmtId="172" fontId="74" fillId="0" borderId="7" xfId="282" applyNumberFormat="1" applyFont="1" applyFill="1" applyBorder="1" applyAlignment="1">
      <alignment horizontal="center" vertical="center" wrapText="1"/>
    </xf>
    <xf numFmtId="172" fontId="74" fillId="0" borderId="9" xfId="282" applyNumberFormat="1" applyFont="1" applyFill="1" applyBorder="1" applyAlignment="1">
      <alignment horizontal="center" vertical="center" wrapText="1"/>
    </xf>
    <xf numFmtId="0" fontId="267" fillId="0" borderId="2" xfId="0" applyFont="1" applyBorder="1" applyAlignment="1">
      <alignment horizontal="left" vertical="center" wrapText="1"/>
    </xf>
    <xf numFmtId="0" fontId="267" fillId="0" borderId="4" xfId="0" applyFont="1" applyBorder="1" applyAlignment="1">
      <alignment horizontal="left" vertical="center" wrapText="1"/>
    </xf>
    <xf numFmtId="0" fontId="267" fillId="0" borderId="5" xfId="0" applyFont="1" applyBorder="1" applyAlignment="1">
      <alignment horizontal="left" vertical="center" wrapText="1"/>
    </xf>
    <xf numFmtId="0" fontId="78" fillId="0" borderId="96" xfId="0" applyFont="1" applyBorder="1" applyAlignment="1">
      <alignment horizontal="center" vertical="center"/>
    </xf>
    <xf numFmtId="0" fontId="69" fillId="0" borderId="0" xfId="0" applyFont="1" applyAlignment="1">
      <alignment horizontal="center" vertical="center" wrapText="1"/>
    </xf>
    <xf numFmtId="0" fontId="57" fillId="62" borderId="10" xfId="282" applyFont="1" applyFill="1" applyBorder="1" applyAlignment="1">
      <alignment horizontal="center" vertical="center" wrapText="1"/>
    </xf>
    <xf numFmtId="0" fontId="57" fillId="62" borderId="10" xfId="282" applyFont="1" applyFill="1" applyBorder="1" applyAlignment="1">
      <alignment horizontal="center" vertical="center"/>
    </xf>
    <xf numFmtId="0" fontId="7" fillId="2" borderId="2" xfId="2" applyFont="1" applyFill="1" applyBorder="1" applyAlignment="1" applyProtection="1">
      <alignment horizontal="center" vertical="center" wrapText="1"/>
      <protection locked="0"/>
    </xf>
    <xf numFmtId="0" fontId="0" fillId="0" borderId="5" xfId="0" applyBorder="1" applyAlignment="1">
      <alignment wrapText="1"/>
    </xf>
    <xf numFmtId="0" fontId="7" fillId="2" borderId="26" xfId="2" applyFont="1" applyFill="1" applyBorder="1" applyAlignment="1" applyProtection="1">
      <alignment horizontal="center" vertical="center"/>
      <protection hidden="1"/>
    </xf>
    <xf numFmtId="0" fontId="7" fillId="2" borderId="27" xfId="2" applyFont="1" applyFill="1" applyBorder="1" applyAlignment="1" applyProtection="1">
      <alignment horizontal="center" vertical="center"/>
      <protection hidden="1"/>
    </xf>
    <xf numFmtId="0" fontId="7" fillId="2" borderId="12" xfId="2" applyFont="1" applyFill="1" applyBorder="1" applyAlignment="1" applyProtection="1">
      <alignment horizontal="center" vertical="center"/>
      <protection hidden="1"/>
    </xf>
    <xf numFmtId="0" fontId="7" fillId="2" borderId="28" xfId="2" applyFont="1" applyFill="1" applyBorder="1" applyAlignment="1" applyProtection="1">
      <alignment horizontal="center" vertical="center"/>
      <protection hidden="1"/>
    </xf>
    <xf numFmtId="0" fontId="2" fillId="0" borderId="0" xfId="2" applyFont="1" applyAlignment="1" applyProtection="1">
      <alignment horizontal="center"/>
      <protection locked="0"/>
    </xf>
    <xf numFmtId="0" fontId="38" fillId="0" borderId="89" xfId="2" applyFont="1" applyBorder="1" applyAlignment="1" applyProtection="1">
      <alignment horizontal="center"/>
      <protection locked="0"/>
    </xf>
    <xf numFmtId="14" fontId="3" fillId="0" borderId="1" xfId="2" applyNumberFormat="1" applyFont="1" applyBorder="1" applyAlignment="1" applyProtection="1">
      <alignment horizontal="center"/>
      <protection locked="0"/>
    </xf>
    <xf numFmtId="0" fontId="7" fillId="2" borderId="3" xfId="2" applyFont="1" applyFill="1" applyBorder="1" applyAlignment="1" applyProtection="1">
      <alignment horizontal="center" vertical="center"/>
      <protection locked="0"/>
    </xf>
    <xf numFmtId="0" fontId="7" fillId="2" borderId="7" xfId="2" applyFont="1" applyFill="1" applyBorder="1" applyAlignment="1" applyProtection="1">
      <alignment horizontal="center" vertical="center"/>
      <protection locked="0"/>
    </xf>
    <xf numFmtId="0" fontId="7" fillId="2" borderId="9" xfId="2" applyFont="1" applyFill="1" applyBorder="1" applyAlignment="1" applyProtection="1">
      <alignment horizontal="center" vertical="center"/>
      <protection locked="0"/>
    </xf>
    <xf numFmtId="0" fontId="7" fillId="2" borderId="3" xfId="2" applyFont="1" applyFill="1" applyBorder="1" applyAlignment="1" applyProtection="1">
      <alignment horizontal="center" vertical="center" wrapText="1"/>
      <protection locked="0"/>
    </xf>
    <xf numFmtId="0" fontId="7" fillId="2" borderId="7" xfId="2" applyFont="1" applyFill="1" applyBorder="1" applyAlignment="1" applyProtection="1">
      <alignment horizontal="center" vertical="center" wrapText="1"/>
      <protection locked="0"/>
    </xf>
    <xf numFmtId="0" fontId="7" fillId="2" borderId="9" xfId="2" applyFont="1" applyFill="1" applyBorder="1" applyAlignment="1" applyProtection="1">
      <alignment horizontal="center" vertical="center" wrapText="1"/>
      <protection locked="0"/>
    </xf>
    <xf numFmtId="0" fontId="7" fillId="2" borderId="8" xfId="2" applyFont="1" applyFill="1" applyBorder="1" applyAlignment="1" applyProtection="1">
      <alignment horizontal="center" vertical="center"/>
      <protection locked="0"/>
    </xf>
    <xf numFmtId="0" fontId="7" fillId="2" borderId="11" xfId="2" applyFont="1" applyFill="1" applyBorder="1" applyAlignment="1" applyProtection="1">
      <alignment horizontal="center" vertical="center"/>
      <protection locked="0"/>
    </xf>
    <xf numFmtId="0" fontId="7" fillId="2" borderId="6" xfId="2" applyFont="1" applyFill="1" applyBorder="1" applyAlignment="1" applyProtection="1">
      <alignment horizontal="center" vertical="center"/>
      <protection locked="0"/>
    </xf>
    <xf numFmtId="0" fontId="7" fillId="2" borderId="14" xfId="2" applyFont="1" applyFill="1" applyBorder="1" applyAlignment="1" applyProtection="1">
      <alignment horizontal="center" vertical="center"/>
      <protection locked="0"/>
    </xf>
    <xf numFmtId="0" fontId="7" fillId="2" borderId="15" xfId="2" applyFont="1" applyFill="1" applyBorder="1" applyAlignment="1" applyProtection="1">
      <alignment horizontal="center" vertical="center"/>
      <protection locked="0"/>
    </xf>
    <xf numFmtId="0" fontId="7" fillId="2" borderId="16" xfId="2" applyFont="1" applyFill="1" applyBorder="1" applyAlignment="1" applyProtection="1">
      <alignment horizontal="center" vertical="center"/>
      <protection locked="0"/>
    </xf>
    <xf numFmtId="0" fontId="7" fillId="2" borderId="2" xfId="2" applyFont="1" applyFill="1" applyBorder="1" applyAlignment="1" applyProtection="1">
      <alignment horizontal="center" vertical="center"/>
      <protection locked="0"/>
    </xf>
    <xf numFmtId="0" fontId="7" fillId="2" borderId="4" xfId="2" applyFont="1" applyFill="1" applyBorder="1" applyAlignment="1" applyProtection="1">
      <alignment horizontal="center" vertical="center"/>
      <protection locked="0"/>
    </xf>
    <xf numFmtId="0" fontId="7" fillId="2" borderId="5" xfId="2" applyFont="1" applyFill="1" applyBorder="1" applyAlignment="1" applyProtection="1">
      <alignment horizontal="center" vertical="center"/>
      <protection locked="0"/>
    </xf>
    <xf numFmtId="0" fontId="7" fillId="3" borderId="10" xfId="1" applyFont="1" applyFill="1" applyBorder="1" applyAlignment="1" applyProtection="1">
      <alignment horizontal="center" vertical="center"/>
      <protection locked="0"/>
    </xf>
    <xf numFmtId="0" fontId="7" fillId="2" borderId="10" xfId="2" applyFont="1" applyFill="1" applyBorder="1" applyAlignment="1" applyProtection="1">
      <alignment horizontal="center" vertical="center"/>
      <protection locked="0"/>
    </xf>
    <xf numFmtId="0" fontId="7" fillId="3" borderId="3" xfId="2" applyFont="1" applyFill="1" applyBorder="1" applyAlignment="1" applyProtection="1">
      <alignment horizontal="center" vertical="center"/>
      <protection locked="0"/>
    </xf>
    <xf numFmtId="0" fontId="7" fillId="3" borderId="9" xfId="2" applyFont="1" applyFill="1" applyBorder="1" applyAlignment="1" applyProtection="1">
      <alignment horizontal="center" vertical="center"/>
      <protection locked="0"/>
    </xf>
    <xf numFmtId="0" fontId="3" fillId="0" borderId="32" xfId="2" applyFont="1" applyFill="1" applyBorder="1" applyAlignment="1" applyProtection="1">
      <alignment horizontal="center"/>
      <protection locked="0"/>
    </xf>
    <xf numFmtId="0" fontId="3" fillId="0" borderId="33" xfId="2" applyFont="1" applyFill="1" applyBorder="1" applyAlignment="1" applyProtection="1">
      <alignment horizontal="center"/>
      <protection locked="0"/>
    </xf>
    <xf numFmtId="1" fontId="3" fillId="0" borderId="32" xfId="2" applyNumberFormat="1" applyFont="1" applyFill="1" applyBorder="1" applyAlignment="1" applyProtection="1">
      <alignment horizontal="center"/>
      <protection hidden="1"/>
    </xf>
    <xf numFmtId="1" fontId="3" fillId="0" borderId="33" xfId="2" applyNumberFormat="1" applyFont="1" applyFill="1" applyBorder="1" applyAlignment="1" applyProtection="1">
      <alignment horizontal="center"/>
      <protection hidden="1"/>
    </xf>
    <xf numFmtId="0" fontId="3" fillId="0" borderId="32" xfId="2" applyNumberFormat="1" applyFont="1" applyBorder="1" applyAlignment="1" applyProtection="1">
      <alignment horizontal="center"/>
      <protection hidden="1"/>
    </xf>
    <xf numFmtId="0" fontId="0" fillId="0" borderId="33" xfId="0" applyFont="1" applyBorder="1" applyProtection="1">
      <protection hidden="1"/>
    </xf>
    <xf numFmtId="0" fontId="3" fillId="3" borderId="32" xfId="2" applyFont="1" applyFill="1" applyBorder="1" applyAlignment="1" applyProtection="1">
      <alignment horizontal="center"/>
      <protection locked="0"/>
    </xf>
    <xf numFmtId="0" fontId="3" fillId="3" borderId="33" xfId="2" applyFont="1" applyFill="1" applyBorder="1" applyAlignment="1" applyProtection="1">
      <alignment horizontal="center"/>
      <protection locked="0"/>
    </xf>
    <xf numFmtId="1" fontId="3" fillId="3" borderId="32" xfId="2" applyNumberFormat="1" applyFont="1" applyFill="1" applyBorder="1" applyAlignment="1" applyProtection="1">
      <alignment horizontal="center"/>
      <protection hidden="1"/>
    </xf>
    <xf numFmtId="1" fontId="3" fillId="3" borderId="33" xfId="2" applyNumberFormat="1" applyFont="1" applyFill="1" applyBorder="1" applyAlignment="1" applyProtection="1">
      <alignment horizontal="center"/>
      <protection hidden="1"/>
    </xf>
    <xf numFmtId="0" fontId="3" fillId="3" borderId="32" xfId="2" applyNumberFormat="1" applyFont="1" applyFill="1" applyBorder="1" applyAlignment="1" applyProtection="1">
      <alignment horizontal="center"/>
      <protection hidden="1"/>
    </xf>
    <xf numFmtId="0" fontId="3" fillId="3" borderId="32" xfId="2" applyFont="1" applyFill="1" applyBorder="1" applyAlignment="1" applyProtection="1">
      <alignment horizontal="center"/>
      <protection hidden="1"/>
    </xf>
    <xf numFmtId="0" fontId="3" fillId="3" borderId="33" xfId="2" applyFont="1" applyFill="1" applyBorder="1" applyAlignment="1" applyProtection="1">
      <alignment horizontal="center"/>
      <protection hidden="1"/>
    </xf>
    <xf numFmtId="1" fontId="3" fillId="0" borderId="32" xfId="2" applyNumberFormat="1" applyFont="1" applyFill="1" applyBorder="1" applyAlignment="1" applyProtection="1">
      <alignment horizontal="center"/>
      <protection locked="0"/>
    </xf>
    <xf numFmtId="1" fontId="3" fillId="0" borderId="33" xfId="2" applyNumberFormat="1" applyFont="1" applyFill="1" applyBorder="1" applyAlignment="1" applyProtection="1">
      <alignment horizontal="center"/>
      <protection locked="0"/>
    </xf>
    <xf numFmtId="1" fontId="0" fillId="0" borderId="33" xfId="0" applyNumberFormat="1" applyFont="1" applyFill="1" applyBorder="1" applyProtection="1">
      <protection hidden="1"/>
    </xf>
    <xf numFmtId="0" fontId="3" fillId="0" borderId="32" xfId="2" applyNumberFormat="1" applyFont="1" applyFill="1" applyBorder="1" applyAlignment="1" applyProtection="1">
      <alignment horizontal="center"/>
      <protection hidden="1"/>
    </xf>
    <xf numFmtId="0" fontId="0" fillId="0" borderId="33" xfId="0" applyFont="1" applyFill="1" applyBorder="1" applyProtection="1">
      <protection hidden="1"/>
    </xf>
    <xf numFmtId="0" fontId="3" fillId="0" borderId="33" xfId="2" applyNumberFormat="1" applyFont="1" applyFill="1" applyBorder="1" applyAlignment="1" applyProtection="1">
      <alignment horizontal="center"/>
      <protection hidden="1"/>
    </xf>
    <xf numFmtId="0" fontId="3" fillId="0" borderId="2" xfId="2" applyFont="1" applyFill="1" applyBorder="1" applyAlignment="1" applyProtection="1">
      <alignment horizontal="center"/>
      <protection locked="0"/>
    </xf>
    <xf numFmtId="0" fontId="3" fillId="0" borderId="5" xfId="2" applyFont="1" applyFill="1" applyBorder="1" applyAlignment="1" applyProtection="1">
      <alignment horizontal="center"/>
      <protection locked="0"/>
    </xf>
    <xf numFmtId="1" fontId="3" fillId="0" borderId="2" xfId="2" applyNumberFormat="1" applyFont="1" applyFill="1" applyBorder="1" applyAlignment="1" applyProtection="1">
      <alignment horizontal="center"/>
      <protection hidden="1"/>
    </xf>
    <xf numFmtId="1" fontId="3" fillId="0" borderId="5" xfId="2" applyNumberFormat="1" applyFont="1" applyFill="1" applyBorder="1" applyAlignment="1" applyProtection="1">
      <alignment horizontal="center"/>
      <protection hidden="1"/>
    </xf>
    <xf numFmtId="0" fontId="3" fillId="0" borderId="2" xfId="2" applyNumberFormat="1" applyFont="1" applyFill="1" applyBorder="1" applyAlignment="1" applyProtection="1">
      <alignment horizontal="center"/>
      <protection hidden="1"/>
    </xf>
    <xf numFmtId="0" fontId="0" fillId="0" borderId="5" xfId="0" applyFont="1" applyFill="1" applyBorder="1" applyProtection="1">
      <protection hidden="1"/>
    </xf>
    <xf numFmtId="0" fontId="3" fillId="0" borderId="35" xfId="2" applyFont="1" applyFill="1" applyBorder="1" applyAlignment="1" applyProtection="1">
      <alignment horizontal="center"/>
      <protection locked="0"/>
    </xf>
    <xf numFmtId="0" fontId="3" fillId="0" borderId="41" xfId="2" applyFont="1" applyFill="1" applyBorder="1" applyAlignment="1" applyProtection="1">
      <alignment horizontal="center"/>
      <protection locked="0"/>
    </xf>
    <xf numFmtId="1" fontId="3" fillId="0" borderId="35" xfId="2" applyNumberFormat="1" applyFont="1" applyFill="1" applyBorder="1" applyAlignment="1" applyProtection="1">
      <alignment horizontal="center"/>
      <protection hidden="1"/>
    </xf>
    <xf numFmtId="1" fontId="3" fillId="0" borderId="41" xfId="2" applyNumberFormat="1" applyFont="1" applyFill="1" applyBorder="1" applyAlignment="1" applyProtection="1">
      <alignment horizontal="center"/>
      <protection hidden="1"/>
    </xf>
    <xf numFmtId="0" fontId="3" fillId="0" borderId="35" xfId="2" applyNumberFormat="1" applyFont="1" applyFill="1" applyBorder="1" applyAlignment="1" applyProtection="1">
      <alignment horizontal="center"/>
      <protection hidden="1"/>
    </xf>
    <xf numFmtId="0" fontId="0" fillId="0" borderId="41" xfId="0" applyFont="1" applyFill="1" applyBorder="1" applyProtection="1">
      <protection hidden="1"/>
    </xf>
    <xf numFmtId="0" fontId="3" fillId="0" borderId="26" xfId="2" applyFont="1" applyFill="1" applyBorder="1" applyAlignment="1" applyProtection="1">
      <alignment horizontal="center"/>
      <protection locked="0"/>
    </xf>
    <xf numFmtId="0" fontId="3" fillId="0" borderId="28" xfId="2" applyFont="1" applyFill="1" applyBorder="1" applyAlignment="1" applyProtection="1">
      <alignment horizontal="center"/>
      <protection locked="0"/>
    </xf>
    <xf numFmtId="1" fontId="3" fillId="0" borderId="26" xfId="2" applyNumberFormat="1" applyFont="1" applyFill="1" applyBorder="1" applyAlignment="1" applyProtection="1">
      <alignment horizontal="center"/>
      <protection hidden="1"/>
    </xf>
    <xf numFmtId="1" fontId="3" fillId="0" borderId="28" xfId="2" applyNumberFormat="1" applyFont="1" applyFill="1" applyBorder="1" applyAlignment="1" applyProtection="1">
      <alignment horizontal="center"/>
      <protection hidden="1"/>
    </xf>
    <xf numFmtId="0" fontId="3" fillId="0" borderId="26" xfId="2" applyNumberFormat="1" applyFont="1" applyFill="1" applyBorder="1" applyAlignment="1" applyProtection="1">
      <alignment horizontal="center"/>
      <protection hidden="1"/>
    </xf>
    <xf numFmtId="0" fontId="3" fillId="0" borderId="28" xfId="2" applyNumberFormat="1" applyFont="1" applyFill="1" applyBorder="1" applyAlignment="1" applyProtection="1">
      <alignment horizontal="center"/>
      <protection hidden="1"/>
    </xf>
    <xf numFmtId="0" fontId="7" fillId="3" borderId="26" xfId="2" applyFont="1" applyFill="1" applyBorder="1" applyAlignment="1" applyProtection="1">
      <alignment horizontal="center" vertical="center"/>
      <protection locked="0"/>
    </xf>
    <xf numFmtId="0" fontId="7" fillId="3" borderId="27" xfId="2" applyFont="1" applyFill="1" applyBorder="1" applyAlignment="1" applyProtection="1">
      <alignment horizontal="center" vertical="center"/>
      <protection locked="0"/>
    </xf>
    <xf numFmtId="0" fontId="7" fillId="3" borderId="28" xfId="2" applyFont="1" applyFill="1" applyBorder="1" applyAlignment="1" applyProtection="1">
      <alignment horizontal="center" vertical="center"/>
      <protection locked="0"/>
    </xf>
    <xf numFmtId="0" fontId="3" fillId="0" borderId="5" xfId="2" applyNumberFormat="1" applyFont="1" applyFill="1" applyBorder="1" applyAlignment="1" applyProtection="1">
      <alignment horizontal="center"/>
      <protection hidden="1"/>
    </xf>
    <xf numFmtId="0" fontId="3" fillId="3" borderId="2" xfId="2" applyFont="1" applyFill="1" applyBorder="1" applyAlignment="1" applyProtection="1">
      <alignment horizontal="center"/>
      <protection locked="0"/>
    </xf>
    <xf numFmtId="0" fontId="3" fillId="3" borderId="5" xfId="2" applyFont="1" applyFill="1" applyBorder="1" applyAlignment="1" applyProtection="1">
      <alignment horizontal="center"/>
      <protection locked="0"/>
    </xf>
    <xf numFmtId="1" fontId="3" fillId="3" borderId="2" xfId="2" applyNumberFormat="1" applyFont="1" applyFill="1" applyBorder="1" applyAlignment="1" applyProtection="1">
      <alignment horizontal="center"/>
      <protection hidden="1"/>
    </xf>
    <xf numFmtId="1" fontId="3" fillId="3" borderId="5" xfId="2" applyNumberFormat="1" applyFont="1" applyFill="1" applyBorder="1" applyAlignment="1" applyProtection="1">
      <alignment horizontal="center"/>
      <protection hidden="1"/>
    </xf>
    <xf numFmtId="0" fontId="3" fillId="3" borderId="2" xfId="2" applyNumberFormat="1" applyFont="1" applyFill="1" applyBorder="1" applyAlignment="1" applyProtection="1">
      <alignment horizontal="center"/>
      <protection hidden="1"/>
    </xf>
    <xf numFmtId="0" fontId="3" fillId="3" borderId="5" xfId="2" applyNumberFormat="1" applyFont="1" applyFill="1" applyBorder="1" applyAlignment="1" applyProtection="1">
      <alignment horizontal="center"/>
      <protection hidden="1"/>
    </xf>
    <xf numFmtId="0" fontId="3" fillId="0" borderId="10" xfId="2" applyFont="1" applyFill="1" applyBorder="1" applyAlignment="1" applyProtection="1">
      <alignment horizontal="center"/>
      <protection locked="0"/>
    </xf>
    <xf numFmtId="0" fontId="3" fillId="3" borderId="10" xfId="2" applyNumberFormat="1" applyFont="1" applyFill="1" applyBorder="1" applyAlignment="1" applyProtection="1">
      <alignment horizontal="center"/>
      <protection hidden="1"/>
    </xf>
    <xf numFmtId="1" fontId="3" fillId="0" borderId="10" xfId="2" applyNumberFormat="1" applyFont="1" applyFill="1" applyBorder="1" applyAlignment="1" applyProtection="1">
      <alignment horizontal="center"/>
      <protection hidden="1"/>
    </xf>
    <xf numFmtId="0" fontId="3" fillId="0" borderId="10" xfId="2" applyNumberFormat="1" applyFont="1" applyFill="1" applyBorder="1" applyAlignment="1" applyProtection="1">
      <alignment horizontal="center"/>
      <protection hidden="1"/>
    </xf>
    <xf numFmtId="0" fontId="0" fillId="0" borderId="10" xfId="0" applyFont="1" applyFill="1" applyBorder="1" applyProtection="1">
      <protection hidden="1"/>
    </xf>
    <xf numFmtId="0" fontId="0" fillId="3" borderId="5" xfId="0" applyFont="1" applyFill="1" applyBorder="1" applyProtection="1">
      <protection hidden="1"/>
    </xf>
    <xf numFmtId="0" fontId="3" fillId="0" borderId="41" xfId="2" applyNumberFormat="1" applyFont="1" applyFill="1" applyBorder="1" applyAlignment="1" applyProtection="1">
      <alignment horizontal="center"/>
      <protection hidden="1"/>
    </xf>
    <xf numFmtId="0" fontId="0" fillId="0" borderId="41" xfId="0" applyFont="1" applyBorder="1" applyProtection="1">
      <protection hidden="1"/>
    </xf>
    <xf numFmtId="0" fontId="0" fillId="0" borderId="5" xfId="0" applyFont="1" applyBorder="1" applyProtection="1">
      <protection hidden="1"/>
    </xf>
    <xf numFmtId="0" fontId="7" fillId="3" borderId="2" xfId="2" applyFont="1" applyFill="1" applyBorder="1" applyAlignment="1" applyProtection="1">
      <alignment horizontal="center" vertical="center"/>
      <protection locked="0"/>
    </xf>
    <xf numFmtId="0" fontId="7" fillId="3" borderId="4" xfId="2" applyFont="1" applyFill="1" applyBorder="1" applyAlignment="1" applyProtection="1">
      <alignment horizontal="center" vertical="center"/>
      <protection locked="0"/>
    </xf>
    <xf numFmtId="0" fontId="7" fillId="3" borderId="5" xfId="2" applyFont="1" applyFill="1" applyBorder="1" applyAlignment="1" applyProtection="1">
      <alignment horizontal="center" vertical="center"/>
      <protection locked="0"/>
    </xf>
    <xf numFmtId="0" fontId="3" fillId="3" borderId="15" xfId="2" applyNumberFormat="1" applyFont="1" applyFill="1" applyBorder="1" applyAlignment="1" applyProtection="1">
      <alignment horizontal="center"/>
      <protection hidden="1"/>
    </xf>
    <xf numFmtId="0" fontId="3" fillId="3" borderId="16" xfId="2" applyNumberFormat="1" applyFont="1" applyFill="1" applyBorder="1" applyAlignment="1" applyProtection="1">
      <alignment horizontal="center"/>
      <protection hidden="1"/>
    </xf>
    <xf numFmtId="1" fontId="0" fillId="0" borderId="33" xfId="0" applyNumberFormat="1" applyFont="1" applyBorder="1" applyProtection="1">
      <protection hidden="1"/>
    </xf>
    <xf numFmtId="1" fontId="0" fillId="0" borderId="41" xfId="0" applyNumberFormat="1" applyFont="1" applyBorder="1" applyProtection="1">
      <protection hidden="1"/>
    </xf>
    <xf numFmtId="0" fontId="7" fillId="0" borderId="32" xfId="2" applyNumberFormat="1" applyFont="1" applyFill="1" applyBorder="1" applyAlignment="1" applyProtection="1">
      <alignment horizontal="center"/>
      <protection hidden="1"/>
    </xf>
    <xf numFmtId="0" fontId="7" fillId="0" borderId="33" xfId="2" applyNumberFormat="1" applyFont="1" applyFill="1" applyBorder="1" applyAlignment="1" applyProtection="1">
      <alignment horizontal="center"/>
      <protection hidden="1"/>
    </xf>
    <xf numFmtId="0" fontId="0" fillId="0" borderId="33" xfId="0" applyBorder="1" applyProtection="1">
      <protection hidden="1"/>
    </xf>
    <xf numFmtId="9" fontId="63" fillId="0" borderId="2" xfId="1" applyNumberFormat="1" applyFont="1" applyBorder="1" applyAlignment="1" applyProtection="1">
      <alignment horizontal="center" vertical="center"/>
      <protection locked="0"/>
    </xf>
    <xf numFmtId="9" fontId="63" fillId="0" borderId="4" xfId="1" applyNumberFormat="1" applyFont="1" applyBorder="1" applyAlignment="1" applyProtection="1">
      <alignment horizontal="center" vertical="center"/>
      <protection locked="0"/>
    </xf>
    <xf numFmtId="9" fontId="63" fillId="0" borderId="5" xfId="1" applyNumberFormat="1" applyFont="1" applyBorder="1" applyAlignment="1" applyProtection="1">
      <alignment horizontal="center" vertical="center"/>
      <protection locked="0"/>
    </xf>
    <xf numFmtId="0" fontId="3" fillId="0" borderId="10" xfId="2" applyFont="1" applyBorder="1" applyAlignment="1" applyProtection="1">
      <alignment horizontal="center" vertical="center" wrapText="1"/>
      <protection hidden="1"/>
    </xf>
    <xf numFmtId="0" fontId="121" fillId="4" borderId="8" xfId="1" applyFont="1" applyFill="1" applyBorder="1" applyAlignment="1" applyProtection="1">
      <alignment horizontal="center" vertical="center"/>
      <protection locked="0"/>
    </xf>
    <xf numFmtId="0" fontId="121" fillId="4" borderId="11" xfId="1" applyFont="1" applyFill="1" applyBorder="1" applyAlignment="1" applyProtection="1">
      <alignment horizontal="center" vertical="center"/>
      <protection locked="0"/>
    </xf>
    <xf numFmtId="0" fontId="121" fillId="4" borderId="15" xfId="1" applyFont="1" applyFill="1" applyBorder="1" applyAlignment="1" applyProtection="1">
      <alignment horizontal="center" vertical="center"/>
      <protection locked="0"/>
    </xf>
    <xf numFmtId="0" fontId="121" fillId="4" borderId="16" xfId="1" applyFont="1" applyFill="1" applyBorder="1" applyAlignment="1" applyProtection="1">
      <alignment horizontal="center" vertical="center"/>
      <protection locked="0"/>
    </xf>
    <xf numFmtId="0" fontId="65" fillId="4" borderId="2" xfId="1" applyFont="1" applyFill="1" applyBorder="1" applyAlignment="1" applyProtection="1">
      <alignment horizontal="center" vertical="center" wrapText="1"/>
      <protection locked="0"/>
    </xf>
    <xf numFmtId="0" fontId="65" fillId="4" borderId="4" xfId="1" applyFont="1" applyFill="1" applyBorder="1" applyAlignment="1" applyProtection="1">
      <alignment horizontal="center" vertical="center" wrapText="1"/>
      <protection locked="0"/>
    </xf>
    <xf numFmtId="0" fontId="65" fillId="4" borderId="5" xfId="1" applyFont="1" applyFill="1" applyBorder="1" applyAlignment="1" applyProtection="1">
      <alignment horizontal="center" vertical="center" wrapText="1"/>
      <protection locked="0"/>
    </xf>
    <xf numFmtId="0" fontId="7" fillId="4" borderId="2" xfId="1" applyFont="1" applyFill="1" applyBorder="1" applyAlignment="1" applyProtection="1">
      <alignment horizontal="center" vertical="center" wrapText="1"/>
      <protection locked="0"/>
    </xf>
    <xf numFmtId="0" fontId="7" fillId="4" borderId="4" xfId="1" applyFont="1" applyFill="1" applyBorder="1" applyAlignment="1" applyProtection="1">
      <alignment horizontal="center" vertical="center" wrapText="1"/>
      <protection locked="0"/>
    </xf>
    <xf numFmtId="0" fontId="7" fillId="4" borderId="5" xfId="1" applyFont="1" applyFill="1" applyBorder="1" applyAlignment="1" applyProtection="1">
      <alignment horizontal="center" vertical="center" wrapText="1"/>
      <protection locked="0"/>
    </xf>
    <xf numFmtId="179" fontId="63" fillId="0" borderId="2" xfId="1" applyNumberFormat="1" applyFont="1" applyBorder="1" applyAlignment="1" applyProtection="1">
      <alignment horizontal="center" vertical="center"/>
      <protection locked="0"/>
    </xf>
    <xf numFmtId="179" fontId="63" fillId="0" borderId="4" xfId="1" applyNumberFormat="1" applyFont="1" applyBorder="1" applyAlignment="1" applyProtection="1">
      <alignment horizontal="center" vertical="center"/>
      <protection locked="0"/>
    </xf>
    <xf numFmtId="179" fontId="63" fillId="0" borderId="5" xfId="1" applyNumberFormat="1" applyFont="1" applyBorder="1" applyAlignment="1" applyProtection="1">
      <alignment horizontal="center" vertical="center"/>
      <protection locked="0"/>
    </xf>
    <xf numFmtId="0" fontId="7" fillId="0" borderId="8" xfId="2" applyFont="1" applyFill="1" applyBorder="1" applyAlignment="1" applyProtection="1">
      <alignment horizontal="left" vertical="center" wrapText="1"/>
      <protection locked="0"/>
    </xf>
    <xf numFmtId="0" fontId="7" fillId="0" borderId="11" xfId="2" applyFont="1" applyFill="1" applyBorder="1" applyAlignment="1" applyProtection="1">
      <alignment horizontal="left" vertical="center" wrapText="1"/>
      <protection locked="0"/>
    </xf>
    <xf numFmtId="0" fontId="7" fillId="0" borderId="15" xfId="2" applyFont="1" applyFill="1" applyBorder="1" applyAlignment="1" applyProtection="1">
      <alignment horizontal="left" vertical="center" wrapText="1"/>
      <protection locked="0"/>
    </xf>
    <xf numFmtId="0" fontId="7" fillId="0" borderId="16" xfId="2" applyFont="1" applyFill="1" applyBorder="1" applyAlignment="1" applyProtection="1">
      <alignment horizontal="left" vertical="center" wrapText="1"/>
      <protection locked="0"/>
    </xf>
    <xf numFmtId="0" fontId="3" fillId="0" borderId="3" xfId="2" applyFont="1" applyFill="1" applyBorder="1" applyAlignment="1" applyProtection="1">
      <alignment horizontal="center" vertical="center"/>
      <protection locked="0"/>
    </xf>
    <xf numFmtId="0" fontId="3" fillId="0" borderId="9" xfId="2" applyFont="1" applyFill="1" applyBorder="1" applyAlignment="1" applyProtection="1">
      <alignment horizontal="center" vertical="center"/>
      <protection locked="0"/>
    </xf>
    <xf numFmtId="0" fontId="63" fillId="51" borderId="10" xfId="2" applyFont="1" applyFill="1" applyBorder="1" applyAlignment="1" applyProtection="1">
      <alignment horizontal="center" vertical="center"/>
      <protection locked="0"/>
    </xf>
    <xf numFmtId="0" fontId="7" fillId="0" borderId="8" xfId="2" applyFont="1" applyBorder="1" applyAlignment="1" applyProtection="1">
      <alignment horizontal="left" vertical="center" wrapText="1"/>
      <protection locked="0"/>
    </xf>
    <xf numFmtId="0" fontId="7" fillId="0" borderId="11" xfId="2" applyFont="1" applyBorder="1" applyAlignment="1" applyProtection="1">
      <alignment horizontal="left" vertical="center" wrapText="1"/>
      <protection locked="0"/>
    </xf>
    <xf numFmtId="0" fontId="7" fillId="0" borderId="6" xfId="2" applyFont="1" applyBorder="1" applyAlignment="1" applyProtection="1">
      <alignment horizontal="left" vertical="center" wrapText="1"/>
      <protection locked="0"/>
    </xf>
    <xf numFmtId="0" fontId="7" fillId="0" borderId="14" xfId="2" applyFont="1" applyBorder="1" applyAlignment="1" applyProtection="1">
      <alignment horizontal="left" vertical="center" wrapText="1"/>
      <protection locked="0"/>
    </xf>
    <xf numFmtId="0" fontId="7" fillId="0" borderId="15" xfId="2" applyFont="1" applyBorder="1" applyAlignment="1" applyProtection="1">
      <alignment horizontal="left" vertical="center" wrapText="1"/>
      <protection locked="0"/>
    </xf>
    <xf numFmtId="0" fontId="7" fillId="0" borderId="16" xfId="2" applyFont="1" applyBorder="1" applyAlignment="1" applyProtection="1">
      <alignment horizontal="left" vertical="center" wrapText="1"/>
      <protection locked="0"/>
    </xf>
    <xf numFmtId="0" fontId="3" fillId="0" borderId="3" xfId="2" applyFont="1" applyBorder="1" applyAlignment="1" applyProtection="1">
      <alignment horizontal="center" vertical="center" wrapText="1"/>
      <protection locked="0"/>
    </xf>
    <xf numFmtId="0" fontId="3" fillId="0" borderId="7" xfId="2" applyFont="1" applyBorder="1" applyAlignment="1" applyProtection="1">
      <alignment horizontal="center" vertical="center" wrapText="1"/>
      <protection locked="0"/>
    </xf>
    <xf numFmtId="0" fontId="3" fillId="0" borderId="9" xfId="2" applyFont="1" applyBorder="1" applyAlignment="1" applyProtection="1">
      <alignment horizontal="center" vertical="center" wrapText="1"/>
      <protection locked="0"/>
    </xf>
    <xf numFmtId="0" fontId="7" fillId="3" borderId="10" xfId="2" applyFont="1" applyFill="1" applyBorder="1" applyAlignment="1" applyProtection="1">
      <alignment horizontal="center" vertical="center" wrapText="1"/>
      <protection locked="0"/>
    </xf>
    <xf numFmtId="0" fontId="7" fillId="3" borderId="2" xfId="2" applyFont="1" applyFill="1" applyBorder="1" applyAlignment="1" applyProtection="1">
      <alignment horizontal="center" vertical="center" wrapText="1"/>
      <protection locked="0"/>
    </xf>
    <xf numFmtId="0" fontId="7" fillId="3" borderId="4" xfId="2" applyFont="1" applyFill="1" applyBorder="1" applyAlignment="1" applyProtection="1">
      <alignment horizontal="center" vertical="center" wrapText="1"/>
      <protection locked="0"/>
    </xf>
    <xf numFmtId="0" fontId="7" fillId="3" borderId="5" xfId="2" applyFont="1" applyFill="1" applyBorder="1" applyAlignment="1" applyProtection="1">
      <alignment horizontal="center" vertical="center" wrapText="1"/>
      <protection locked="0"/>
    </xf>
    <xf numFmtId="0" fontId="3" fillId="0" borderId="10" xfId="2" applyFont="1" applyBorder="1" applyAlignment="1" applyProtection="1">
      <alignment horizontal="center"/>
      <protection locked="0"/>
    </xf>
    <xf numFmtId="0" fontId="2" fillId="0" borderId="0" xfId="2" applyFont="1" applyBorder="1" applyAlignment="1" applyProtection="1">
      <alignment horizontal="center"/>
      <protection locked="0"/>
    </xf>
    <xf numFmtId="0" fontId="2" fillId="0" borderId="90" xfId="2" applyFont="1" applyBorder="1" applyAlignment="1" applyProtection="1">
      <alignment horizontal="center"/>
      <protection locked="0"/>
    </xf>
    <xf numFmtId="0" fontId="7" fillId="2" borderId="2" xfId="2" applyFont="1" applyFill="1" applyBorder="1" applyAlignment="1" applyProtection="1">
      <alignment horizontal="center"/>
      <protection locked="0"/>
    </xf>
    <xf numFmtId="0" fontId="7" fillId="2" borderId="4" xfId="2" applyFont="1" applyFill="1" applyBorder="1" applyAlignment="1" applyProtection="1">
      <alignment horizontal="center"/>
      <protection locked="0"/>
    </xf>
    <xf numFmtId="0" fontId="7" fillId="2" borderId="5" xfId="2" applyFont="1" applyFill="1" applyBorder="1" applyAlignment="1" applyProtection="1">
      <alignment horizontal="center"/>
      <protection locked="0"/>
    </xf>
    <xf numFmtId="0" fontId="7" fillId="2" borderId="26" xfId="2" applyFont="1" applyFill="1" applyBorder="1" applyAlignment="1" applyProtection="1">
      <alignment horizontal="center"/>
      <protection hidden="1"/>
    </xf>
    <xf numFmtId="0" fontId="7" fillId="2" borderId="27" xfId="2" applyFont="1" applyFill="1" applyBorder="1" applyAlignment="1" applyProtection="1">
      <alignment horizontal="center"/>
      <protection hidden="1"/>
    </xf>
    <xf numFmtId="0" fontId="7" fillId="2" borderId="28" xfId="2" applyFont="1" applyFill="1" applyBorder="1" applyAlignment="1" applyProtection="1">
      <alignment horizontal="center"/>
      <protection hidden="1"/>
    </xf>
    <xf numFmtId="0" fontId="7" fillId="2" borderId="26" xfId="2" applyFont="1" applyFill="1" applyBorder="1" applyAlignment="1" applyProtection="1">
      <alignment horizontal="center"/>
      <protection locked="0"/>
    </xf>
    <xf numFmtId="0" fontId="7" fillId="2" borderId="27" xfId="2" applyFont="1" applyFill="1" applyBorder="1" applyAlignment="1" applyProtection="1">
      <alignment horizontal="center"/>
      <protection locked="0"/>
    </xf>
    <xf numFmtId="0" fontId="7" fillId="2" borderId="28" xfId="2" applyFont="1" applyFill="1" applyBorder="1" applyAlignment="1" applyProtection="1">
      <alignment horizontal="center"/>
      <protection locked="0"/>
    </xf>
    <xf numFmtId="0" fontId="7" fillId="2" borderId="10" xfId="2" applyFont="1" applyFill="1" applyBorder="1" applyAlignment="1" applyProtection="1">
      <alignment horizontal="center"/>
      <protection locked="0"/>
    </xf>
    <xf numFmtId="0" fontId="7" fillId="3" borderId="10" xfId="2" applyFont="1" applyFill="1" applyBorder="1" applyAlignment="1" applyProtection="1">
      <alignment horizontal="center" vertical="center"/>
      <protection locked="0"/>
    </xf>
    <xf numFmtId="0" fontId="7" fillId="3" borderId="2" xfId="2" applyFont="1" applyFill="1" applyBorder="1" applyAlignment="1">
      <alignment horizontal="center" vertical="center"/>
    </xf>
    <xf numFmtId="0" fontId="7" fillId="3" borderId="4" xfId="2" applyFont="1" applyFill="1" applyBorder="1" applyAlignment="1">
      <alignment horizontal="center" vertical="center"/>
    </xf>
    <xf numFmtId="0" fontId="7" fillId="3" borderId="8" xfId="2" applyFont="1" applyFill="1" applyBorder="1" applyAlignment="1">
      <alignment horizontal="center" vertical="center"/>
    </xf>
    <xf numFmtId="0" fontId="7" fillId="3" borderId="11" xfId="2" applyFont="1" applyFill="1" applyBorder="1" applyAlignment="1">
      <alignment horizontal="center" vertical="center"/>
    </xf>
    <xf numFmtId="0" fontId="7" fillId="3" borderId="5" xfId="2" applyFont="1" applyFill="1" applyBorder="1" applyAlignment="1">
      <alignment horizontal="center" vertical="center"/>
    </xf>
    <xf numFmtId="0" fontId="3" fillId="0" borderId="10" xfId="2" applyFont="1" applyBorder="1" applyAlignment="1" applyProtection="1">
      <alignment horizontal="center" vertical="center"/>
      <protection locked="0"/>
    </xf>
    <xf numFmtId="0" fontId="7" fillId="0" borderId="10" xfId="2" applyFont="1" applyBorder="1" applyAlignment="1"/>
    <xf numFmtId="0" fontId="3" fillId="0" borderId="2" xfId="2" applyFont="1" applyBorder="1" applyAlignment="1">
      <alignment horizontal="center"/>
    </xf>
    <xf numFmtId="0" fontId="3" fillId="0" borderId="4" xfId="2" applyFont="1" applyBorder="1" applyAlignment="1">
      <alignment horizontal="center"/>
    </xf>
    <xf numFmtId="0" fontId="3" fillId="0" borderId="5" xfId="2" applyFont="1" applyBorder="1" applyAlignment="1">
      <alignment horizontal="center"/>
    </xf>
    <xf numFmtId="0" fontId="3" fillId="0" borderId="2" xfId="2" applyFont="1" applyFill="1" applyBorder="1" applyAlignment="1">
      <alignment horizontal="center"/>
    </xf>
    <xf numFmtId="0" fontId="3" fillId="0" borderId="4" xfId="2" applyFont="1" applyFill="1" applyBorder="1" applyAlignment="1">
      <alignment horizontal="center"/>
    </xf>
    <xf numFmtId="0" fontId="3" fillId="0" borderId="5" xfId="2" applyFont="1" applyFill="1" applyBorder="1" applyAlignment="1">
      <alignment horizontal="center"/>
    </xf>
    <xf numFmtId="0" fontId="3" fillId="0" borderId="10" xfId="1" applyFont="1" applyBorder="1" applyAlignment="1" applyProtection="1">
      <alignment horizontal="center" vertical="center"/>
      <protection locked="0"/>
    </xf>
    <xf numFmtId="0" fontId="3" fillId="0" borderId="10" xfId="2" applyFont="1" applyFill="1" applyBorder="1" applyAlignment="1">
      <alignment horizontal="center"/>
    </xf>
    <xf numFmtId="0" fontId="7" fillId="0" borderId="2" xfId="2" applyFont="1" applyBorder="1" applyAlignment="1"/>
    <xf numFmtId="0" fontId="7" fillId="0" borderId="5" xfId="2" applyFont="1" applyBorder="1" applyAlignment="1"/>
    <xf numFmtId="0" fontId="64" fillId="4" borderId="10" xfId="1" applyFont="1" applyFill="1" applyBorder="1" applyAlignment="1" applyProtection="1">
      <alignment horizontal="center" vertical="center"/>
      <protection locked="0"/>
    </xf>
    <xf numFmtId="0" fontId="65" fillId="4" borderId="10" xfId="1" applyFont="1" applyFill="1" applyBorder="1" applyAlignment="1" applyProtection="1">
      <alignment horizontal="center" vertical="center" wrapText="1"/>
      <protection locked="0"/>
    </xf>
    <xf numFmtId="9" fontId="63" fillId="0" borderId="10" xfId="1" applyNumberFormat="1" applyFont="1" applyBorder="1" applyAlignment="1" applyProtection="1">
      <alignment horizontal="center" vertical="center"/>
      <protection locked="0"/>
    </xf>
    <xf numFmtId="9" fontId="63" fillId="0" borderId="10" xfId="1" applyNumberFormat="1" applyFont="1" applyFill="1" applyBorder="1" applyAlignment="1" applyProtection="1">
      <alignment horizontal="center" vertical="center"/>
      <protection locked="0"/>
    </xf>
    <xf numFmtId="0" fontId="86" fillId="0" borderId="2" xfId="0" applyFont="1" applyBorder="1" applyAlignment="1">
      <alignment horizontal="left"/>
    </xf>
    <xf numFmtId="0" fontId="86" fillId="0" borderId="4" xfId="0" applyFont="1" applyBorder="1" applyAlignment="1">
      <alignment horizontal="left"/>
    </xf>
    <xf numFmtId="0" fontId="86" fillId="0" borderId="5" xfId="0" applyFont="1" applyBorder="1" applyAlignment="1">
      <alignment horizontal="left"/>
    </xf>
    <xf numFmtId="0" fontId="276" fillId="0" borderId="10" xfId="243" applyFont="1" applyBorder="1" applyAlignment="1">
      <alignment horizontal="left" vertical="center" wrapText="1"/>
    </xf>
    <xf numFmtId="0" fontId="86" fillId="0" borderId="10" xfId="0" applyFont="1" applyBorder="1" applyAlignment="1">
      <alignment horizontal="left" vertical="center" wrapText="1"/>
    </xf>
    <xf numFmtId="0" fontId="86" fillId="0" borderId="2" xfId="0" applyFont="1" applyBorder="1" applyAlignment="1">
      <alignment horizontal="left" vertical="center" wrapText="1"/>
    </xf>
    <xf numFmtId="0" fontId="86" fillId="0" borderId="10" xfId="0" applyFont="1" applyBorder="1" applyAlignment="1">
      <alignment horizontal="center" vertical="center"/>
    </xf>
    <xf numFmtId="0" fontId="276" fillId="0" borderId="10" xfId="0" applyFont="1" applyBorder="1" applyAlignment="1">
      <alignment horizontal="left" vertical="center" wrapText="1"/>
    </xf>
    <xf numFmtId="0" fontId="276" fillId="2" borderId="2" xfId="0" applyFont="1" applyFill="1" applyBorder="1" applyAlignment="1">
      <alignment horizontal="center" vertical="center"/>
    </xf>
    <xf numFmtId="0" fontId="276" fillId="2" borderId="4" xfId="0" applyFont="1" applyFill="1" applyBorder="1" applyAlignment="1">
      <alignment horizontal="center" vertical="center"/>
    </xf>
    <xf numFmtId="0" fontId="276" fillId="2" borderId="5" xfId="0" applyFont="1" applyFill="1" applyBorder="1" applyAlignment="1">
      <alignment horizontal="center" vertical="center"/>
    </xf>
    <xf numFmtId="0" fontId="276" fillId="2" borderId="10" xfId="0" applyFont="1" applyFill="1" applyBorder="1" applyAlignment="1">
      <alignment horizontal="center" vertical="center"/>
    </xf>
    <xf numFmtId="0" fontId="276" fillId="0" borderId="8" xfId="0" applyFont="1" applyBorder="1" applyAlignment="1">
      <alignment horizontal="left" vertical="top" wrapText="1"/>
    </xf>
    <xf numFmtId="0" fontId="276" fillId="0" borderId="11" xfId="0" applyFont="1" applyBorder="1" applyAlignment="1">
      <alignment horizontal="left" vertical="top" wrapText="1"/>
    </xf>
    <xf numFmtId="0" fontId="86" fillId="0" borderId="4" xfId="0" applyFont="1" applyBorder="1" applyAlignment="1">
      <alignment horizontal="left" vertical="center" wrapText="1"/>
    </xf>
    <xf numFmtId="0" fontId="86" fillId="0" borderId="10" xfId="0" applyFont="1" applyBorder="1" applyAlignment="1">
      <alignment horizontal="center" vertical="center" wrapText="1"/>
    </xf>
    <xf numFmtId="3" fontId="279" fillId="0" borderId="2" xfId="0" applyNumberFormat="1" applyFont="1" applyBorder="1" applyAlignment="1">
      <alignment horizontal="center" vertical="center" wrapText="1"/>
    </xf>
    <xf numFmtId="3" fontId="279" fillId="0" borderId="5" xfId="0" applyNumberFormat="1" applyFont="1" applyBorder="1" applyAlignment="1">
      <alignment horizontal="center" vertical="center" wrapText="1"/>
    </xf>
    <xf numFmtId="0" fontId="86" fillId="0" borderId="10" xfId="0" applyFont="1" applyBorder="1" applyAlignment="1">
      <alignment horizontal="left" vertical="center"/>
    </xf>
    <xf numFmtId="0" fontId="280" fillId="0" borderId="10" xfId="0" applyFont="1" applyFill="1" applyBorder="1" applyAlignment="1" applyProtection="1">
      <alignment horizontal="left" vertical="center" wrapText="1"/>
      <protection hidden="1"/>
    </xf>
    <xf numFmtId="0" fontId="280" fillId="0" borderId="10" xfId="0" applyFont="1" applyFill="1" applyBorder="1" applyAlignment="1" applyProtection="1">
      <alignment horizontal="center" vertical="center" wrapText="1"/>
      <protection hidden="1"/>
    </xf>
    <xf numFmtId="0" fontId="279" fillId="53" borderId="10" xfId="0" applyFont="1" applyFill="1" applyBorder="1" applyAlignment="1">
      <alignment horizontal="left" vertical="center" wrapText="1"/>
    </xf>
    <xf numFmtId="0" fontId="280" fillId="53" borderId="10" xfId="0" applyFont="1" applyFill="1" applyBorder="1" applyAlignment="1">
      <alignment horizontal="left" vertical="center" wrapText="1"/>
    </xf>
    <xf numFmtId="0" fontId="280" fillId="53" borderId="10" xfId="0" applyFont="1" applyFill="1" applyBorder="1" applyAlignment="1">
      <alignment horizontal="center" vertical="center" wrapText="1"/>
    </xf>
    <xf numFmtId="0" fontId="245" fillId="62" borderId="10" xfId="0" applyFont="1" applyFill="1" applyBorder="1" applyAlignment="1">
      <alignment horizontal="center" vertical="center" textRotation="90" wrapText="1"/>
    </xf>
    <xf numFmtId="0" fontId="279" fillId="0" borderId="10" xfId="0" applyFont="1" applyFill="1" applyBorder="1" applyAlignment="1" applyProtection="1">
      <alignment horizontal="left" vertical="center" wrapText="1"/>
      <protection hidden="1"/>
    </xf>
    <xf numFmtId="0" fontId="86" fillId="0" borderId="10" xfId="0" applyFont="1" applyFill="1" applyBorder="1" applyAlignment="1">
      <alignment horizontal="center" vertical="center" wrapText="1"/>
    </xf>
    <xf numFmtId="0" fontId="279" fillId="42" borderId="10" xfId="0" applyFont="1" applyFill="1" applyBorder="1" applyAlignment="1" applyProtection="1">
      <alignment horizontal="center" vertical="center" wrapText="1"/>
      <protection hidden="1"/>
    </xf>
    <xf numFmtId="0" fontId="229" fillId="0" borderId="0" xfId="0" applyFont="1" applyAlignment="1">
      <alignment horizontal="center"/>
    </xf>
    <xf numFmtId="0" fontId="278" fillId="0" borderId="0" xfId="243" applyNumberFormat="1" applyFont="1" applyFill="1" applyBorder="1" applyAlignment="1" applyProtection="1">
      <alignment horizontal="center"/>
    </xf>
    <xf numFmtId="0" fontId="277" fillId="0" borderId="104" xfId="0" applyFont="1" applyBorder="1" applyAlignment="1">
      <alignment horizontal="center" wrapText="1"/>
    </xf>
    <xf numFmtId="14" fontId="276" fillId="0" borderId="105" xfId="0" applyNumberFormat="1" applyFont="1" applyBorder="1" applyAlignment="1">
      <alignment horizontal="center" vertical="top" wrapText="1"/>
    </xf>
    <xf numFmtId="0" fontId="248" fillId="42" borderId="10" xfId="0" applyFont="1" applyFill="1" applyBorder="1" applyAlignment="1" applyProtection="1">
      <alignment horizontal="center" vertical="center" wrapText="1"/>
      <protection hidden="1"/>
    </xf>
    <xf numFmtId="0" fontId="279" fillId="42" borderId="106" xfId="0" applyFont="1" applyFill="1" applyBorder="1" applyAlignment="1">
      <alignment horizontal="center" vertical="center"/>
    </xf>
    <xf numFmtId="0" fontId="279" fillId="42" borderId="9" xfId="0" applyFont="1" applyFill="1" applyBorder="1" applyAlignment="1">
      <alignment horizontal="center" vertical="center"/>
    </xf>
    <xf numFmtId="0" fontId="259" fillId="42" borderId="10" xfId="0" applyFont="1" applyFill="1" applyBorder="1" applyAlignment="1">
      <alignment horizontal="center" vertical="center" wrapText="1"/>
    </xf>
    <xf numFmtId="0" fontId="245" fillId="57" borderId="10" xfId="0" applyFont="1" applyFill="1" applyBorder="1" applyAlignment="1">
      <alignment horizontal="center" vertical="center"/>
    </xf>
    <xf numFmtId="0" fontId="245" fillId="0" borderId="10" xfId="0" applyFont="1" applyBorder="1" applyAlignment="1">
      <alignment horizontal="center" vertical="center"/>
    </xf>
    <xf numFmtId="0" fontId="245" fillId="0" borderId="12" xfId="0" applyFont="1" applyBorder="1" applyAlignment="1">
      <alignment horizontal="center" vertical="center"/>
    </xf>
    <xf numFmtId="0" fontId="245" fillId="0" borderId="11" xfId="0" applyFont="1" applyBorder="1" applyAlignment="1">
      <alignment horizontal="center" vertical="center"/>
    </xf>
    <xf numFmtId="0" fontId="245" fillId="0" borderId="1" xfId="0" applyFont="1" applyBorder="1" applyAlignment="1">
      <alignment horizontal="center" vertical="center"/>
    </xf>
    <xf numFmtId="0" fontId="245" fillId="0" borderId="16" xfId="0" applyFont="1" applyBorder="1" applyAlignment="1">
      <alignment horizontal="center" vertical="center"/>
    </xf>
    <xf numFmtId="0" fontId="245" fillId="0" borderId="2" xfId="0" applyFont="1" applyBorder="1" applyAlignment="1">
      <alignment horizontal="center" vertical="center"/>
    </xf>
    <xf numFmtId="0" fontId="245" fillId="0" borderId="4" xfId="0" applyFont="1" applyBorder="1" applyAlignment="1">
      <alignment horizontal="center" vertical="center"/>
    </xf>
    <xf numFmtId="0" fontId="245" fillId="0" borderId="5" xfId="0" applyFont="1" applyBorder="1" applyAlignment="1">
      <alignment horizontal="center" vertical="center"/>
    </xf>
    <xf numFmtId="0" fontId="249" fillId="0" borderId="3" xfId="0" applyFont="1" applyBorder="1" applyAlignment="1">
      <alignment horizontal="center" vertical="center" wrapText="1"/>
    </xf>
    <xf numFmtId="0" fontId="249" fillId="0" borderId="7" xfId="0" applyFont="1" applyBorder="1" applyAlignment="1">
      <alignment horizontal="center" vertical="center" wrapText="1"/>
    </xf>
    <xf numFmtId="0" fontId="249" fillId="0" borderId="9" xfId="0" applyFont="1" applyBorder="1" applyAlignment="1">
      <alignment horizontal="center" vertical="center" wrapText="1"/>
    </xf>
    <xf numFmtId="0" fontId="271" fillId="10" borderId="10" xfId="0" applyFont="1" applyFill="1" applyBorder="1" applyAlignment="1">
      <alignment horizontal="center" vertical="center"/>
    </xf>
    <xf numFmtId="0" fontId="244" fillId="0" borderId="10" xfId="0" applyFont="1" applyBorder="1" applyAlignment="1">
      <alignment horizontal="center"/>
    </xf>
    <xf numFmtId="0" fontId="249" fillId="0" borderId="10" xfId="0" applyFont="1" applyBorder="1" applyAlignment="1">
      <alignment horizontal="center" vertical="center" wrapText="1"/>
    </xf>
    <xf numFmtId="0" fontId="245" fillId="0" borderId="10" xfId="0" applyFont="1" applyFill="1" applyBorder="1" applyAlignment="1">
      <alignment horizontal="center" vertical="center" wrapText="1"/>
    </xf>
    <xf numFmtId="0" fontId="229" fillId="0" borderId="10" xfId="0" applyFont="1" applyBorder="1" applyAlignment="1">
      <alignment horizontal="center" vertical="center" wrapText="1"/>
    </xf>
    <xf numFmtId="0" fontId="250" fillId="0" borderId="0" xfId="0" applyFont="1" applyFill="1" applyBorder="1" applyAlignment="1">
      <alignment horizontal="center" wrapText="1"/>
    </xf>
    <xf numFmtId="14" fontId="67" fillId="0" borderId="0" xfId="0" applyNumberFormat="1" applyFont="1" applyFill="1" applyBorder="1" applyAlignment="1">
      <alignment horizontal="center"/>
    </xf>
    <xf numFmtId="0" fontId="248" fillId="62" borderId="10" xfId="0" applyFont="1" applyFill="1" applyBorder="1" applyAlignment="1">
      <alignment horizontal="center" vertical="center"/>
    </xf>
    <xf numFmtId="0" fontId="67" fillId="0" borderId="10" xfId="0" applyFont="1" applyBorder="1" applyAlignment="1">
      <alignment horizontal="center" vertical="center" wrapText="1"/>
    </xf>
    <xf numFmtId="0" fontId="270" fillId="42" borderId="44" xfId="0" applyFont="1" applyFill="1" applyBorder="1" applyAlignment="1">
      <alignment horizontal="center" vertical="center"/>
    </xf>
    <xf numFmtId="0" fontId="259" fillId="42" borderId="72" xfId="0" applyFont="1" applyFill="1" applyBorder="1" applyAlignment="1">
      <alignment horizontal="center" vertical="center"/>
    </xf>
    <xf numFmtId="0" fontId="249" fillId="0" borderId="2" xfId="0" applyFont="1" applyBorder="1" applyAlignment="1">
      <alignment horizontal="center" vertical="center"/>
    </xf>
    <xf numFmtId="0" fontId="249" fillId="0" borderId="4" xfId="0" applyFont="1" applyBorder="1" applyAlignment="1">
      <alignment horizontal="center" vertical="center"/>
    </xf>
    <xf numFmtId="0" fontId="249" fillId="0" borderId="5" xfId="0" applyFont="1" applyBorder="1" applyAlignment="1">
      <alignment horizontal="center" vertical="center"/>
    </xf>
    <xf numFmtId="0" fontId="245" fillId="0" borderId="10" xfId="0" applyFont="1" applyFill="1" applyBorder="1" applyAlignment="1">
      <alignment horizontal="center" vertical="center"/>
    </xf>
    <xf numFmtId="0" fontId="245" fillId="0" borderId="3" xfId="0" applyFont="1" applyFill="1" applyBorder="1" applyAlignment="1">
      <alignment horizontal="center" vertical="center" wrapText="1"/>
    </xf>
    <xf numFmtId="0" fontId="245" fillId="0" borderId="7" xfId="0" applyFont="1" applyFill="1" applyBorder="1" applyAlignment="1">
      <alignment horizontal="center" vertical="center" wrapText="1"/>
    </xf>
    <xf numFmtId="0" fontId="245" fillId="0" borderId="9" xfId="0" applyFont="1" applyFill="1" applyBorder="1" applyAlignment="1">
      <alignment horizontal="center" vertical="center" wrapText="1"/>
    </xf>
    <xf numFmtId="0" fontId="244" fillId="0" borderId="3" xfId="0" applyFont="1" applyBorder="1" applyAlignment="1">
      <alignment horizontal="center"/>
    </xf>
    <xf numFmtId="0" fontId="244" fillId="0" borderId="7" xfId="0" applyFont="1" applyBorder="1" applyAlignment="1">
      <alignment horizontal="center"/>
    </xf>
    <xf numFmtId="0" fontId="244" fillId="0" borderId="9" xfId="0" applyFont="1" applyBorder="1" applyAlignment="1">
      <alignment horizontal="center"/>
    </xf>
    <xf numFmtId="0" fontId="67" fillId="0" borderId="3" xfId="0" applyFont="1" applyBorder="1" applyAlignment="1">
      <alignment horizontal="center" vertical="center" wrapText="1"/>
    </xf>
    <xf numFmtId="0" fontId="67" fillId="0" borderId="7" xfId="0" applyFont="1" applyBorder="1" applyAlignment="1">
      <alignment horizontal="center" vertical="center" wrapText="1"/>
    </xf>
    <xf numFmtId="0" fontId="67" fillId="0" borderId="9" xfId="0" applyFont="1" applyBorder="1" applyAlignment="1">
      <alignment horizontal="center" vertical="center" wrapText="1"/>
    </xf>
    <xf numFmtId="0" fontId="250" fillId="0" borderId="95" xfId="0" applyFont="1" applyBorder="1" applyAlignment="1">
      <alignment horizontal="center" vertical="center" wrapText="1"/>
    </xf>
    <xf numFmtId="0" fontId="2" fillId="0" borderId="4" xfId="0" applyFont="1" applyFill="1" applyBorder="1" applyAlignment="1">
      <alignment horizontal="left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 wrapText="1"/>
    </xf>
    <xf numFmtId="0" fontId="249" fillId="0" borderId="97" xfId="0" applyFont="1" applyBorder="1" applyAlignment="1">
      <alignment horizontal="left" vertical="center" wrapText="1"/>
    </xf>
    <xf numFmtId="0" fontId="249" fillId="0" borderId="98" xfId="0" applyFont="1" applyBorder="1" applyAlignment="1">
      <alignment horizontal="left" vertical="center" wrapText="1"/>
    </xf>
    <xf numFmtId="0" fontId="249" fillId="0" borderId="99" xfId="0" applyFont="1" applyBorder="1" applyAlignment="1">
      <alignment horizontal="left" vertical="center" wrapText="1"/>
    </xf>
    <xf numFmtId="0" fontId="245" fillId="3" borderId="3" xfId="0" applyFont="1" applyFill="1" applyBorder="1" applyAlignment="1">
      <alignment horizontal="center" vertical="center"/>
    </xf>
    <xf numFmtId="0" fontId="245" fillId="3" borderId="9" xfId="0" applyFont="1" applyFill="1" applyBorder="1" applyAlignment="1">
      <alignment horizontal="center" vertical="center"/>
    </xf>
    <xf numFmtId="0" fontId="259" fillId="42" borderId="44" xfId="0" applyFont="1" applyFill="1" applyBorder="1" applyAlignment="1">
      <alignment horizontal="center" vertical="center"/>
    </xf>
    <xf numFmtId="0" fontId="259" fillId="42" borderId="10" xfId="0" applyFont="1" applyFill="1" applyBorder="1" applyAlignment="1">
      <alignment horizontal="center" vertical="center"/>
    </xf>
    <xf numFmtId="0" fontId="61" fillId="0" borderId="3" xfId="0" applyFont="1" applyFill="1" applyBorder="1" applyAlignment="1">
      <alignment horizontal="center"/>
    </xf>
    <xf numFmtId="0" fontId="61" fillId="0" borderId="7" xfId="0" applyFont="1" applyFill="1" applyBorder="1" applyAlignment="1">
      <alignment horizontal="center"/>
    </xf>
    <xf numFmtId="0" fontId="61" fillId="0" borderId="9" xfId="0" applyFont="1" applyFill="1" applyBorder="1" applyAlignment="1">
      <alignment horizontal="center"/>
    </xf>
    <xf numFmtId="0" fontId="249" fillId="0" borderId="8" xfId="0" applyFont="1" applyBorder="1" applyAlignment="1">
      <alignment horizontal="center" vertical="center"/>
    </xf>
    <xf numFmtId="0" fontId="249" fillId="0" borderId="12" xfId="0" applyFont="1" applyBorder="1" applyAlignment="1">
      <alignment horizontal="center" vertical="center"/>
    </xf>
    <xf numFmtId="0" fontId="249" fillId="0" borderId="11" xfId="0" applyFont="1" applyBorder="1" applyAlignment="1">
      <alignment horizontal="center" vertical="center"/>
    </xf>
    <xf numFmtId="0" fontId="249" fillId="0" borderId="15" xfId="0" applyFont="1" applyBorder="1" applyAlignment="1">
      <alignment horizontal="center" vertical="center"/>
    </xf>
    <xf numFmtId="0" fontId="249" fillId="0" borderId="1" xfId="0" applyFont="1" applyBorder="1" applyAlignment="1">
      <alignment horizontal="center" vertical="center"/>
    </xf>
    <xf numFmtId="0" fontId="249" fillId="0" borderId="16" xfId="0" applyFont="1" applyBorder="1" applyAlignment="1">
      <alignment horizontal="center" vertical="center"/>
    </xf>
    <xf numFmtId="0" fontId="249" fillId="0" borderId="10" xfId="0" applyFont="1" applyBorder="1" applyAlignment="1">
      <alignment horizontal="center" vertical="center"/>
    </xf>
    <xf numFmtId="0" fontId="61" fillId="0" borderId="10" xfId="0" applyFont="1" applyFill="1" applyBorder="1" applyAlignment="1">
      <alignment horizontal="center"/>
    </xf>
    <xf numFmtId="0" fontId="259" fillId="42" borderId="12" xfId="0" applyFont="1" applyFill="1" applyBorder="1" applyAlignment="1">
      <alignment horizontal="center" vertical="center" wrapText="1"/>
    </xf>
    <xf numFmtId="0" fontId="259" fillId="42" borderId="11" xfId="0" applyFont="1" applyFill="1" applyBorder="1" applyAlignment="1">
      <alignment horizontal="center" vertical="center" wrapText="1"/>
    </xf>
    <xf numFmtId="0" fontId="259" fillId="42" borderId="1" xfId="0" applyFont="1" applyFill="1" applyBorder="1" applyAlignment="1">
      <alignment horizontal="center" vertical="center" wrapText="1"/>
    </xf>
    <xf numFmtId="0" fontId="259" fillId="42" borderId="16" xfId="0" applyFont="1" applyFill="1" applyBorder="1" applyAlignment="1">
      <alignment horizontal="center" vertical="center" wrapText="1"/>
    </xf>
    <xf numFmtId="0" fontId="44" fillId="0" borderId="35" xfId="1" applyFont="1" applyFill="1" applyBorder="1" applyAlignment="1"/>
    <xf numFmtId="0" fontId="44" fillId="0" borderId="40" xfId="1" applyFont="1" applyFill="1" applyBorder="1" applyAlignment="1"/>
    <xf numFmtId="0" fontId="44" fillId="0" borderId="41" xfId="1" applyFont="1" applyFill="1" applyBorder="1" applyAlignment="1"/>
    <xf numFmtId="0" fontId="44" fillId="0" borderId="32" xfId="1" applyFont="1" applyBorder="1" applyAlignment="1">
      <alignment horizontal="center"/>
    </xf>
    <xf numFmtId="0" fontId="44" fillId="0" borderId="33" xfId="1" applyFont="1" applyBorder="1" applyAlignment="1">
      <alignment horizontal="center"/>
    </xf>
    <xf numFmtId="0" fontId="44" fillId="0" borderId="35" xfId="1" applyFont="1" applyBorder="1" applyAlignment="1">
      <alignment horizontal="center"/>
    </xf>
    <xf numFmtId="0" fontId="44" fillId="0" borderId="41" xfId="1" applyFont="1" applyBorder="1" applyAlignment="1">
      <alignment horizontal="center"/>
    </xf>
    <xf numFmtId="0" fontId="44" fillId="0" borderId="2" xfId="1" applyFont="1" applyBorder="1" applyAlignment="1">
      <alignment horizontal="center"/>
    </xf>
    <xf numFmtId="0" fontId="44" fillId="0" borderId="5" xfId="1" applyFont="1" applyBorder="1" applyAlignment="1">
      <alignment horizontal="center"/>
    </xf>
    <xf numFmtId="0" fontId="44" fillId="0" borderId="26" xfId="1" applyFont="1" applyBorder="1" applyAlignment="1">
      <alignment horizontal="center"/>
    </xf>
    <xf numFmtId="0" fontId="44" fillId="0" borderId="28" xfId="1" applyFont="1" applyBorder="1" applyAlignment="1">
      <alignment horizontal="center"/>
    </xf>
    <xf numFmtId="0" fontId="76" fillId="2" borderId="15" xfId="1" applyFont="1" applyFill="1" applyBorder="1" applyAlignment="1">
      <alignment horizontal="center" vertical="center"/>
    </xf>
    <xf numFmtId="0" fontId="76" fillId="2" borderId="16" xfId="1" applyFont="1" applyFill="1" applyBorder="1" applyAlignment="1">
      <alignment horizontal="center" vertical="center"/>
    </xf>
    <xf numFmtId="0" fontId="44" fillId="0" borderId="32" xfId="1" applyFont="1" applyBorder="1" applyAlignment="1">
      <alignment horizontal="left"/>
    </xf>
    <xf numFmtId="0" fontId="44" fillId="0" borderId="33" xfId="1" applyFont="1" applyBorder="1" applyAlignment="1">
      <alignment horizontal="left"/>
    </xf>
    <xf numFmtId="0" fontId="76" fillId="2" borderId="26" xfId="1" applyFont="1" applyFill="1" applyBorder="1" applyAlignment="1"/>
    <xf numFmtId="0" fontId="76" fillId="2" borderId="27" xfId="1" applyFont="1" applyFill="1" applyBorder="1" applyAlignment="1"/>
    <xf numFmtId="0" fontId="76" fillId="2" borderId="28" xfId="1" applyFont="1" applyFill="1" applyBorder="1" applyAlignment="1"/>
    <xf numFmtId="0" fontId="44" fillId="0" borderId="32" xfId="1" applyFont="1" applyBorder="1" applyAlignment="1">
      <alignment vertical="center"/>
    </xf>
    <xf numFmtId="0" fontId="44" fillId="0" borderId="45" xfId="1" applyFont="1" applyBorder="1" applyAlignment="1">
      <alignment vertical="center"/>
    </xf>
    <xf numFmtId="0" fontId="44" fillId="0" borderId="33" xfId="1" applyFont="1" applyBorder="1" applyAlignment="1">
      <alignment vertical="center"/>
    </xf>
    <xf numFmtId="0" fontId="44" fillId="0" borderId="35" xfId="1" applyFont="1" applyBorder="1" applyAlignment="1">
      <alignment vertical="center"/>
    </xf>
    <xf numFmtId="0" fontId="44" fillId="0" borderId="40" xfId="1" applyFont="1" applyBorder="1" applyAlignment="1">
      <alignment vertical="center"/>
    </xf>
    <xf numFmtId="0" fontId="44" fillId="0" borderId="41" xfId="1" applyFont="1" applyBorder="1" applyAlignment="1">
      <alignment vertical="center"/>
    </xf>
    <xf numFmtId="0" fontId="44" fillId="0" borderId="2" xfId="1" applyFont="1" applyFill="1" applyBorder="1" applyAlignment="1">
      <alignment horizontal="left"/>
    </xf>
    <xf numFmtId="0" fontId="44" fillId="0" borderId="5" xfId="1" applyFont="1" applyFill="1" applyBorder="1" applyAlignment="1">
      <alignment horizontal="left"/>
    </xf>
    <xf numFmtId="0" fontId="44" fillId="0" borderId="26" xfId="1" applyFont="1" applyFill="1" applyBorder="1" applyAlignment="1">
      <alignment horizontal="left"/>
    </xf>
    <xf numFmtId="0" fontId="44" fillId="0" borderId="28" xfId="1" applyFont="1" applyFill="1" applyBorder="1" applyAlignment="1">
      <alignment horizontal="left"/>
    </xf>
    <xf numFmtId="0" fontId="44" fillId="0" borderId="36" xfId="1" applyFont="1" applyBorder="1" applyAlignment="1">
      <alignment vertical="center"/>
    </xf>
    <xf numFmtId="0" fontId="44" fillId="0" borderId="38" xfId="1" applyFont="1" applyBorder="1" applyAlignment="1">
      <alignment vertical="center"/>
    </xf>
    <xf numFmtId="0" fontId="44" fillId="0" borderId="39" xfId="1" applyFont="1" applyBorder="1" applyAlignment="1">
      <alignment vertical="center"/>
    </xf>
    <xf numFmtId="0" fontId="44" fillId="0" borderId="32" xfId="1" applyFont="1" applyFill="1" applyBorder="1" applyAlignment="1"/>
    <xf numFmtId="0" fontId="44" fillId="0" borderId="45" xfId="1" applyFont="1" applyFill="1" applyBorder="1" applyAlignment="1"/>
    <xf numFmtId="0" fontId="44" fillId="0" borderId="33" xfId="1" applyFont="1" applyFill="1" applyBorder="1" applyAlignment="1"/>
    <xf numFmtId="0" fontId="44" fillId="0" borderId="2" xfId="1" applyFont="1" applyBorder="1" applyAlignment="1">
      <alignment horizontal="center" vertical="center"/>
    </xf>
    <xf numFmtId="0" fontId="44" fillId="0" borderId="5" xfId="1" applyFont="1" applyBorder="1" applyAlignment="1">
      <alignment horizontal="center" vertical="center"/>
    </xf>
    <xf numFmtId="0" fontId="44" fillId="0" borderId="0" xfId="1" applyFont="1" applyAlignment="1">
      <alignment horizontal="center"/>
    </xf>
    <xf numFmtId="0" fontId="76" fillId="4" borderId="10" xfId="1" applyFont="1" applyFill="1" applyBorder="1" applyAlignment="1">
      <alignment horizontal="center" vertical="center"/>
    </xf>
    <xf numFmtId="0" fontId="76" fillId="4" borderId="10" xfId="1" applyFont="1" applyFill="1" applyBorder="1" applyAlignment="1">
      <alignment horizontal="center" vertical="center" wrapText="1"/>
    </xf>
    <xf numFmtId="9" fontId="44" fillId="0" borderId="10" xfId="1" applyNumberFormat="1" applyFont="1" applyBorder="1" applyAlignment="1">
      <alignment horizontal="center" vertical="center"/>
    </xf>
    <xf numFmtId="0" fontId="44" fillId="0" borderId="35" xfId="1" applyFont="1" applyBorder="1" applyAlignment="1">
      <alignment horizontal="left"/>
    </xf>
    <xf numFmtId="0" fontId="44" fillId="0" borderId="41" xfId="1" applyFont="1" applyBorder="1" applyAlignment="1">
      <alignment horizontal="left"/>
    </xf>
    <xf numFmtId="0" fontId="44" fillId="0" borderId="32" xfId="1" applyFont="1" applyFill="1" applyBorder="1" applyAlignment="1">
      <alignment horizontal="left"/>
    </xf>
    <xf numFmtId="0" fontId="44" fillId="0" borderId="33" xfId="1" applyFont="1" applyFill="1" applyBorder="1" applyAlignment="1">
      <alignment horizontal="left"/>
    </xf>
    <xf numFmtId="0" fontId="44" fillId="0" borderId="2" xfId="1" applyFont="1" applyBorder="1" applyAlignment="1">
      <alignment horizontal="left"/>
    </xf>
    <xf numFmtId="0" fontId="44" fillId="0" borderId="5" xfId="1" applyFont="1" applyBorder="1" applyAlignment="1">
      <alignment horizontal="left"/>
    </xf>
    <xf numFmtId="0" fontId="76" fillId="2" borderId="3" xfId="1" applyFont="1" applyFill="1" applyBorder="1" applyAlignment="1">
      <alignment horizontal="center" vertical="center"/>
    </xf>
    <xf numFmtId="0" fontId="76" fillId="2" borderId="9" xfId="1" applyFont="1" applyFill="1" applyBorder="1" applyAlignment="1">
      <alignment horizontal="center" vertical="center"/>
    </xf>
    <xf numFmtId="0" fontId="76" fillId="2" borderId="2" xfId="1" applyFont="1" applyFill="1" applyBorder="1" applyAlignment="1">
      <alignment horizontal="center"/>
    </xf>
    <xf numFmtId="0" fontId="76" fillId="2" borderId="5" xfId="1" applyFont="1" applyFill="1" applyBorder="1" applyAlignment="1">
      <alignment horizontal="center"/>
    </xf>
    <xf numFmtId="0" fontId="76" fillId="2" borderId="8" xfId="1" applyFont="1" applyFill="1" applyBorder="1" applyAlignment="1">
      <alignment horizontal="center" vertical="center" wrapText="1"/>
    </xf>
    <xf numFmtId="0" fontId="76" fillId="2" borderId="11" xfId="1" applyFont="1" applyFill="1" applyBorder="1" applyAlignment="1">
      <alignment horizontal="center" vertical="center" wrapText="1"/>
    </xf>
    <xf numFmtId="0" fontId="76" fillId="2" borderId="15" xfId="1" applyFont="1" applyFill="1" applyBorder="1" applyAlignment="1">
      <alignment horizontal="center" vertical="center" wrapText="1"/>
    </xf>
    <xf numFmtId="0" fontId="76" fillId="2" borderId="16" xfId="1" applyFont="1" applyFill="1" applyBorder="1" applyAlignment="1">
      <alignment horizontal="center" vertical="center" wrapText="1"/>
    </xf>
    <xf numFmtId="0" fontId="76" fillId="0" borderId="2" xfId="2" applyFont="1" applyBorder="1" applyAlignment="1" applyProtection="1">
      <protection locked="0"/>
    </xf>
    <xf numFmtId="0" fontId="76" fillId="0" borderId="4" xfId="2" applyFont="1" applyBorder="1" applyAlignment="1" applyProtection="1">
      <protection locked="0"/>
    </xf>
    <xf numFmtId="0" fontId="76" fillId="0" borderId="5" xfId="2" applyFont="1" applyBorder="1" applyAlignment="1" applyProtection="1">
      <protection locked="0"/>
    </xf>
    <xf numFmtId="0" fontId="44" fillId="0" borderId="2" xfId="2" applyFont="1" applyBorder="1" applyAlignment="1" applyProtection="1">
      <protection locked="0"/>
    </xf>
    <xf numFmtId="0" fontId="44" fillId="0" borderId="4" xfId="2" applyFont="1" applyBorder="1" applyAlignment="1" applyProtection="1">
      <protection locked="0"/>
    </xf>
    <xf numFmtId="0" fontId="44" fillId="0" borderId="5" xfId="2" applyFont="1" applyBorder="1" applyAlignment="1" applyProtection="1">
      <protection locked="0"/>
    </xf>
    <xf numFmtId="0" fontId="44" fillId="0" borderId="2" xfId="1" applyFont="1" applyBorder="1" applyAlignment="1" applyProtection="1">
      <alignment vertical="center"/>
      <protection locked="0"/>
    </xf>
    <xf numFmtId="0" fontId="44" fillId="0" borderId="4" xfId="1" applyFont="1" applyBorder="1" applyAlignment="1" applyProtection="1">
      <alignment vertical="center"/>
      <protection locked="0"/>
    </xf>
    <xf numFmtId="0" fontId="44" fillId="0" borderId="5" xfId="1" applyFont="1" applyBorder="1" applyAlignment="1" applyProtection="1">
      <alignment vertical="center"/>
      <protection locked="0"/>
    </xf>
    <xf numFmtId="0" fontId="44" fillId="0" borderId="32" xfId="1" applyFont="1" applyFill="1" applyBorder="1" applyAlignment="1">
      <alignment vertical="center"/>
    </xf>
    <xf numFmtId="0" fontId="44" fillId="0" borderId="45" xfId="1" applyFont="1" applyFill="1" applyBorder="1" applyAlignment="1">
      <alignment vertical="center"/>
    </xf>
    <xf numFmtId="0" fontId="44" fillId="0" borderId="33" xfId="1" applyFont="1" applyFill="1" applyBorder="1" applyAlignment="1">
      <alignment vertical="center"/>
    </xf>
    <xf numFmtId="0" fontId="44" fillId="0" borderId="40" xfId="1" applyFont="1" applyBorder="1" applyAlignment="1">
      <alignment horizontal="left"/>
    </xf>
    <xf numFmtId="0" fontId="44" fillId="0" borderId="31" xfId="1" applyFont="1" applyFill="1" applyBorder="1" applyAlignment="1">
      <alignment horizontal="center" wrapText="1"/>
    </xf>
    <xf numFmtId="0" fontId="0" fillId="0" borderId="29" xfId="0" applyBorder="1"/>
    <xf numFmtId="0" fontId="44" fillId="0" borderId="31" xfId="1" applyFont="1" applyFill="1" applyBorder="1" applyAlignment="1">
      <alignment horizontal="center" vertical="center"/>
    </xf>
    <xf numFmtId="0" fontId="44" fillId="0" borderId="29" xfId="1" applyFont="1" applyFill="1" applyBorder="1" applyAlignment="1">
      <alignment horizontal="center" vertical="center"/>
    </xf>
    <xf numFmtId="0" fontId="83" fillId="0" borderId="89" xfId="1" applyFont="1" applyBorder="1" applyAlignment="1">
      <alignment horizontal="center"/>
    </xf>
    <xf numFmtId="0" fontId="76" fillId="2" borderId="2" xfId="1" applyFont="1" applyFill="1" applyBorder="1" applyAlignment="1">
      <alignment horizontal="center" vertical="center"/>
    </xf>
    <xf numFmtId="0" fontId="76" fillId="2" borderId="4" xfId="1" applyFont="1" applyFill="1" applyBorder="1" applyAlignment="1">
      <alignment horizontal="center" vertical="center"/>
    </xf>
    <xf numFmtId="0" fontId="76" fillId="2" borderId="5" xfId="1" applyFont="1" applyFill="1" applyBorder="1" applyAlignment="1">
      <alignment horizontal="center" vertical="center"/>
    </xf>
    <xf numFmtId="0" fontId="44" fillId="0" borderId="2" xfId="1" applyFont="1" applyFill="1" applyBorder="1" applyAlignment="1"/>
    <xf numFmtId="0" fontId="44" fillId="0" borderId="5" xfId="1" applyFont="1" applyFill="1" applyBorder="1" applyAlignment="1"/>
    <xf numFmtId="0" fontId="44" fillId="0" borderId="2" xfId="1" applyFont="1" applyBorder="1"/>
    <xf numFmtId="0" fontId="44" fillId="0" borderId="5" xfId="1" applyFont="1" applyBorder="1"/>
    <xf numFmtId="0" fontId="44" fillId="0" borderId="35" xfId="1" applyFont="1" applyFill="1" applyBorder="1" applyAlignment="1">
      <alignment horizontal="left"/>
    </xf>
    <xf numFmtId="0" fontId="44" fillId="0" borderId="41" xfId="1" applyFont="1" applyFill="1" applyBorder="1" applyAlignment="1">
      <alignment horizontal="left"/>
    </xf>
    <xf numFmtId="0" fontId="76" fillId="3" borderId="10" xfId="1" applyFont="1" applyFill="1" applyBorder="1" applyAlignment="1">
      <alignment horizontal="center"/>
    </xf>
    <xf numFmtId="0" fontId="44" fillId="0" borderId="35" xfId="1" applyFont="1" applyFill="1" applyBorder="1" applyAlignment="1">
      <alignment vertical="center"/>
    </xf>
    <xf numFmtId="0" fontId="44" fillId="0" borderId="40" xfId="1" applyFont="1" applyFill="1" applyBorder="1" applyAlignment="1">
      <alignment vertical="center"/>
    </xf>
    <xf numFmtId="0" fontId="44" fillId="0" borderId="41" xfId="1" applyFont="1" applyFill="1" applyBorder="1" applyAlignment="1">
      <alignment vertical="center"/>
    </xf>
    <xf numFmtId="0" fontId="70" fillId="0" borderId="0" xfId="366" applyFont="1" applyFill="1" applyBorder="1" applyAlignment="1">
      <alignment horizontal="left" vertical="center" wrapText="1"/>
    </xf>
    <xf numFmtId="0" fontId="79" fillId="0" borderId="48" xfId="0" applyFont="1" applyFill="1" applyBorder="1" applyAlignment="1">
      <alignment horizontal="center" vertical="center" textRotation="90"/>
    </xf>
    <xf numFmtId="0" fontId="79" fillId="0" borderId="10" xfId="0" applyFont="1" applyFill="1" applyBorder="1" applyAlignment="1">
      <alignment horizontal="center" vertical="center" textRotation="90"/>
    </xf>
    <xf numFmtId="0" fontId="79" fillId="0" borderId="46" xfId="0" applyFont="1" applyFill="1" applyBorder="1" applyAlignment="1">
      <alignment horizontal="center" vertical="center" textRotation="90"/>
    </xf>
    <xf numFmtId="0" fontId="70" fillId="0" borderId="52" xfId="369" applyFont="1" applyFill="1" applyBorder="1" applyAlignment="1">
      <alignment horizontal="left" vertical="center" wrapText="1"/>
    </xf>
    <xf numFmtId="0" fontId="70" fillId="0" borderId="7" xfId="369" applyFont="1" applyFill="1" applyBorder="1" applyAlignment="1">
      <alignment horizontal="left" vertical="center" wrapText="1"/>
    </xf>
    <xf numFmtId="0" fontId="70" fillId="0" borderId="9" xfId="369" applyFont="1" applyFill="1" applyBorder="1" applyAlignment="1">
      <alignment horizontal="left" vertical="center" wrapText="1"/>
    </xf>
    <xf numFmtId="0" fontId="70" fillId="0" borderId="3" xfId="369" applyFont="1" applyFill="1" applyBorder="1" applyAlignment="1">
      <alignment horizontal="left" vertical="center" wrapText="1"/>
    </xf>
    <xf numFmtId="0" fontId="6" fillId="0" borderId="3" xfId="2" applyFont="1" applyFill="1" applyBorder="1" applyAlignment="1">
      <alignment horizontal="left" vertical="top" wrapText="1"/>
    </xf>
    <xf numFmtId="0" fontId="6" fillId="0" borderId="9" xfId="2" applyFont="1" applyFill="1" applyBorder="1" applyAlignment="1">
      <alignment horizontal="left" vertical="top" wrapText="1"/>
    </xf>
    <xf numFmtId="0" fontId="70" fillId="0" borderId="10" xfId="369" applyFont="1" applyFill="1" applyBorder="1" applyAlignment="1">
      <alignment horizontal="left" vertical="center" wrapText="1"/>
    </xf>
    <xf numFmtId="0" fontId="70" fillId="0" borderId="50" xfId="369" applyFont="1" applyFill="1" applyBorder="1" applyAlignment="1">
      <alignment horizontal="left" vertical="center" wrapText="1"/>
    </xf>
    <xf numFmtId="0" fontId="79" fillId="0" borderId="48" xfId="0" applyFont="1" applyFill="1" applyBorder="1" applyAlignment="1">
      <alignment horizontal="center" vertical="center" textRotation="90" wrapText="1"/>
    </xf>
    <xf numFmtId="0" fontId="79" fillId="0" borderId="10" xfId="0" applyFont="1" applyFill="1" applyBorder="1" applyAlignment="1">
      <alignment horizontal="center" vertical="center" textRotation="90" wrapText="1"/>
    </xf>
    <xf numFmtId="0" fontId="79" fillId="0" borderId="46" xfId="0" applyFont="1" applyFill="1" applyBorder="1" applyAlignment="1">
      <alignment horizontal="center" vertical="center" textRotation="90" wrapText="1"/>
    </xf>
    <xf numFmtId="0" fontId="79" fillId="0" borderId="9" xfId="0" applyFont="1" applyFill="1" applyBorder="1" applyAlignment="1">
      <alignment horizontal="center" vertical="center" textRotation="90" wrapText="1"/>
    </xf>
    <xf numFmtId="0" fontId="6" fillId="0" borderId="3" xfId="366" applyFont="1" applyFill="1" applyBorder="1" applyAlignment="1">
      <alignment horizontal="left" vertical="center" wrapText="1"/>
    </xf>
    <xf numFmtId="0" fontId="6" fillId="0" borderId="9" xfId="366" applyFont="1" applyFill="1" applyBorder="1" applyAlignment="1">
      <alignment horizontal="left" vertical="center" wrapText="1"/>
    </xf>
    <xf numFmtId="0" fontId="6" fillId="0" borderId="7" xfId="366" applyFont="1" applyFill="1" applyBorder="1" applyAlignment="1">
      <alignment horizontal="left" vertical="center" wrapText="1"/>
    </xf>
    <xf numFmtId="0" fontId="6" fillId="0" borderId="3" xfId="366" applyFont="1" applyFill="1" applyBorder="1" applyAlignment="1">
      <alignment horizontal="center" vertical="center" wrapText="1"/>
    </xf>
    <xf numFmtId="0" fontId="6" fillId="0" borderId="9" xfId="366" applyFont="1" applyFill="1" applyBorder="1" applyAlignment="1">
      <alignment horizontal="center" vertical="center" wrapText="1"/>
    </xf>
    <xf numFmtId="0" fontId="70" fillId="0" borderId="3" xfId="366" applyNumberFormat="1" applyFont="1" applyFill="1" applyBorder="1" applyAlignment="1">
      <alignment horizontal="left" vertical="center" wrapText="1"/>
    </xf>
    <xf numFmtId="0" fontId="70" fillId="0" borderId="9" xfId="366" applyNumberFormat="1" applyFont="1" applyFill="1" applyBorder="1" applyAlignment="1">
      <alignment horizontal="left" vertical="center" wrapText="1"/>
    </xf>
    <xf numFmtId="0" fontId="79" fillId="0" borderId="3" xfId="0" applyFont="1" applyFill="1" applyBorder="1" applyAlignment="1">
      <alignment horizontal="center" vertical="center" textRotation="90" wrapText="1"/>
    </xf>
    <xf numFmtId="0" fontId="70" fillId="0" borderId="48" xfId="369" applyFont="1" applyFill="1" applyBorder="1" applyAlignment="1">
      <alignment horizontal="left" vertical="center" wrapText="1"/>
    </xf>
    <xf numFmtId="0" fontId="6" fillId="0" borderId="3" xfId="369" applyFont="1" applyFill="1" applyBorder="1" applyAlignment="1">
      <alignment horizontal="left" vertical="center" wrapText="1"/>
    </xf>
    <xf numFmtId="0" fontId="6" fillId="0" borderId="7" xfId="369" applyFont="1" applyFill="1" applyBorder="1" applyAlignment="1">
      <alignment horizontal="left" vertical="center" wrapText="1"/>
    </xf>
    <xf numFmtId="0" fontId="57" fillId="0" borderId="9" xfId="0" applyFont="1" applyFill="1" applyBorder="1" applyAlignment="1">
      <alignment horizontal="center" vertical="center" textRotation="90" wrapText="1"/>
    </xf>
    <xf numFmtId="0" fontId="57" fillId="0" borderId="10" xfId="0" applyFont="1" applyFill="1" applyBorder="1" applyAlignment="1">
      <alignment horizontal="center" vertical="center" textRotation="90" wrapText="1"/>
    </xf>
    <xf numFmtId="0" fontId="57" fillId="0" borderId="46" xfId="0" applyFont="1" applyFill="1" applyBorder="1" applyAlignment="1">
      <alignment horizontal="center" vertical="center" textRotation="90" wrapText="1"/>
    </xf>
    <xf numFmtId="0" fontId="6" fillId="0" borderId="7" xfId="366" applyFont="1" applyFill="1" applyBorder="1" applyAlignment="1">
      <alignment horizontal="center" vertical="center" wrapText="1"/>
    </xf>
    <xf numFmtId="0" fontId="70" fillId="0" borderId="7" xfId="366" applyNumberFormat="1" applyFont="1" applyFill="1" applyBorder="1" applyAlignment="1">
      <alignment horizontal="left" vertical="center" wrapText="1"/>
    </xf>
    <xf numFmtId="0" fontId="221" fillId="0" borderId="0" xfId="0" applyFont="1" applyBorder="1" applyAlignment="1">
      <alignment horizontal="center"/>
    </xf>
    <xf numFmtId="0" fontId="221" fillId="0" borderId="90" xfId="0" applyFont="1" applyBorder="1" applyAlignment="1">
      <alignment horizontal="center"/>
    </xf>
    <xf numFmtId="0" fontId="184" fillId="0" borderId="8" xfId="366" applyFont="1" applyFill="1" applyBorder="1" applyAlignment="1">
      <alignment horizontal="center" vertical="center"/>
    </xf>
    <xf numFmtId="0" fontId="184" fillId="0" borderId="11" xfId="366" applyFont="1" applyFill="1" applyBorder="1" applyAlignment="1">
      <alignment horizontal="center" vertical="center"/>
    </xf>
    <xf numFmtId="0" fontId="184" fillId="0" borderId="15" xfId="366" applyFont="1" applyFill="1" applyBorder="1" applyAlignment="1">
      <alignment horizontal="center" vertical="center"/>
    </xf>
    <xf numFmtId="0" fontId="184" fillId="0" borderId="16" xfId="366" applyFont="1" applyFill="1" applyBorder="1" applyAlignment="1">
      <alignment horizontal="center" vertical="center"/>
    </xf>
    <xf numFmtId="0" fontId="184" fillId="0" borderId="3" xfId="366" applyFont="1" applyFill="1" applyBorder="1" applyAlignment="1">
      <alignment horizontal="center" vertical="center"/>
    </xf>
    <xf numFmtId="0" fontId="184" fillId="0" borderId="9" xfId="366" applyFont="1" applyFill="1" applyBorder="1" applyAlignment="1">
      <alignment horizontal="center" vertical="center"/>
    </xf>
    <xf numFmtId="0" fontId="72" fillId="0" borderId="2" xfId="366" applyFont="1" applyFill="1" applyBorder="1" applyAlignment="1">
      <alignment horizontal="center" vertical="center" wrapText="1"/>
    </xf>
    <xf numFmtId="0" fontId="72" fillId="0" borderId="5" xfId="366" applyFont="1" applyFill="1" applyBorder="1" applyAlignment="1">
      <alignment horizontal="center" vertical="center" wrapText="1"/>
    </xf>
    <xf numFmtId="0" fontId="70" fillId="0" borderId="3" xfId="366" applyFont="1" applyFill="1" applyBorder="1" applyAlignment="1">
      <alignment horizontal="left" vertical="center" wrapText="1"/>
    </xf>
    <xf numFmtId="0" fontId="70" fillId="0" borderId="9" xfId="366" applyFont="1" applyFill="1" applyBorder="1" applyAlignment="1">
      <alignment horizontal="left" vertical="center" wrapText="1"/>
    </xf>
    <xf numFmtId="0" fontId="82" fillId="0" borderId="52" xfId="0" applyFont="1" applyFill="1" applyBorder="1" applyAlignment="1">
      <alignment horizontal="center" vertical="center" textRotation="90" wrapText="1"/>
    </xf>
    <xf numFmtId="0" fontId="82" fillId="0" borderId="7" xfId="0" applyFont="1" applyFill="1" applyBorder="1" applyAlignment="1">
      <alignment horizontal="center" vertical="center" textRotation="90" wrapText="1"/>
    </xf>
    <xf numFmtId="0" fontId="82" fillId="0" borderId="50" xfId="0" applyFont="1" applyFill="1" applyBorder="1" applyAlignment="1">
      <alignment horizontal="center" vertical="center" textRotation="90" wrapText="1"/>
    </xf>
    <xf numFmtId="0" fontId="79" fillId="0" borderId="52" xfId="0" applyFont="1" applyFill="1" applyBorder="1" applyAlignment="1">
      <alignment horizontal="center" vertical="center" textRotation="90" wrapText="1"/>
    </xf>
    <xf numFmtId="0" fontId="79" fillId="0" borderId="7" xfId="0" applyFont="1" applyFill="1" applyBorder="1" applyAlignment="1">
      <alignment horizontal="center" vertical="center" textRotation="90" wrapText="1"/>
    </xf>
    <xf numFmtId="0" fontId="79" fillId="0" borderId="50" xfId="0" applyFont="1" applyFill="1" applyBorder="1" applyAlignment="1">
      <alignment horizontal="center" vertical="center" textRotation="90" wrapText="1"/>
    </xf>
    <xf numFmtId="0" fontId="6" fillId="0" borderId="48" xfId="366" applyFont="1" applyFill="1" applyBorder="1" applyAlignment="1">
      <alignment horizontal="left" vertical="center" wrapText="1"/>
    </xf>
    <xf numFmtId="0" fontId="6" fillId="0" borderId="10" xfId="366" applyFont="1" applyFill="1" applyBorder="1" applyAlignment="1">
      <alignment horizontal="left" vertical="center" wrapText="1"/>
    </xf>
    <xf numFmtId="0" fontId="6" fillId="0" borderId="52" xfId="366" applyFont="1" applyFill="1" applyBorder="1" applyAlignment="1">
      <alignment horizontal="left" vertical="center" wrapText="1"/>
    </xf>
    <xf numFmtId="0" fontId="79" fillId="0" borderId="8" xfId="0" applyFont="1" applyFill="1" applyBorder="1" applyAlignment="1">
      <alignment horizontal="center" vertical="center" textRotation="90"/>
    </xf>
    <xf numFmtId="0" fontId="79" fillId="0" borderId="6" xfId="0" applyFont="1" applyFill="1" applyBorder="1" applyAlignment="1">
      <alignment horizontal="center" vertical="center" textRotation="90"/>
    </xf>
    <xf numFmtId="0" fontId="79" fillId="0" borderId="51" xfId="0" applyFont="1" applyFill="1" applyBorder="1" applyAlignment="1">
      <alignment horizontal="center" vertical="center" textRotation="90"/>
    </xf>
    <xf numFmtId="0" fontId="6" fillId="0" borderId="9" xfId="369" applyFont="1" applyFill="1" applyBorder="1" applyAlignment="1">
      <alignment horizontal="left" vertical="center" wrapText="1"/>
    </xf>
    <xf numFmtId="0" fontId="6" fillId="0" borderId="10" xfId="369" applyFont="1" applyFill="1" applyBorder="1" applyAlignment="1">
      <alignment horizontal="left" vertical="center" wrapText="1"/>
    </xf>
    <xf numFmtId="0" fontId="70" fillId="0" borderId="3" xfId="369" applyFont="1" applyFill="1" applyBorder="1" applyAlignment="1">
      <alignment horizontal="center" vertical="center" wrapText="1"/>
    </xf>
    <xf numFmtId="0" fontId="70" fillId="0" borderId="9" xfId="369" applyFont="1" applyFill="1" applyBorder="1" applyAlignment="1">
      <alignment horizontal="center" vertical="center" wrapText="1"/>
    </xf>
    <xf numFmtId="0" fontId="6" fillId="0" borderId="2" xfId="366" applyFont="1" applyFill="1" applyBorder="1" applyAlignment="1">
      <alignment horizontal="left"/>
    </xf>
    <xf numFmtId="0" fontId="6" fillId="0" borderId="5" xfId="366" applyFont="1" applyFill="1" applyBorder="1" applyAlignment="1">
      <alignment horizontal="left"/>
    </xf>
    <xf numFmtId="0" fontId="57" fillId="0" borderId="10" xfId="366" applyNumberFormat="1" applyFont="1" applyFill="1" applyBorder="1" applyAlignment="1">
      <alignment horizontal="center" vertical="center"/>
    </xf>
    <xf numFmtId="0" fontId="6" fillId="0" borderId="10" xfId="369" applyFont="1" applyBorder="1" applyAlignment="1">
      <alignment horizontal="left" vertical="center"/>
    </xf>
    <xf numFmtId="0" fontId="6" fillId="0" borderId="10" xfId="366" applyFont="1" applyBorder="1" applyAlignment="1">
      <alignment horizontal="center" vertical="center" wrapText="1"/>
    </xf>
    <xf numFmtId="3" fontId="6" fillId="0" borderId="10" xfId="366" applyNumberFormat="1" applyFont="1" applyFill="1" applyBorder="1" applyAlignment="1">
      <alignment horizontal="center" vertical="center"/>
    </xf>
    <xf numFmtId="0" fontId="78" fillId="0" borderId="0" xfId="0" applyFont="1" applyFill="1" applyBorder="1" applyAlignment="1">
      <alignment horizontal="left" vertical="center" wrapText="1"/>
    </xf>
    <xf numFmtId="0" fontId="79" fillId="0" borderId="2" xfId="0" applyFont="1" applyFill="1" applyBorder="1" applyAlignment="1">
      <alignment horizontal="center" vertical="center"/>
    </xf>
    <xf numFmtId="0" fontId="79" fillId="0" borderId="5" xfId="0" applyFont="1" applyFill="1" applyBorder="1" applyAlignment="1">
      <alignment horizontal="center" vertical="center"/>
    </xf>
    <xf numFmtId="3" fontId="6" fillId="0" borderId="8" xfId="366" applyNumberFormat="1" applyFont="1" applyFill="1" applyBorder="1" applyAlignment="1">
      <alignment horizontal="center" vertical="center" wrapText="1"/>
    </xf>
    <xf numFmtId="3" fontId="6" fillId="0" borderId="11" xfId="366" applyNumberFormat="1" applyFont="1" applyFill="1" applyBorder="1" applyAlignment="1">
      <alignment horizontal="center" vertical="center" wrapText="1"/>
    </xf>
    <xf numFmtId="3" fontId="6" fillId="0" borderId="6" xfId="366" applyNumberFormat="1" applyFont="1" applyFill="1" applyBorder="1" applyAlignment="1">
      <alignment horizontal="center" vertical="center" wrapText="1"/>
    </xf>
    <xf numFmtId="3" fontId="6" fillId="0" borderId="14" xfId="366" applyNumberFormat="1" applyFont="1" applyFill="1" applyBorder="1" applyAlignment="1">
      <alignment horizontal="center" vertical="center" wrapText="1"/>
    </xf>
    <xf numFmtId="3" fontId="6" fillId="0" borderId="15" xfId="366" applyNumberFormat="1" applyFont="1" applyFill="1" applyBorder="1" applyAlignment="1">
      <alignment horizontal="center" vertical="center" wrapText="1"/>
    </xf>
    <xf numFmtId="3" fontId="6" fillId="0" borderId="16" xfId="366" applyNumberFormat="1" applyFont="1" applyFill="1" applyBorder="1" applyAlignment="1">
      <alignment horizontal="center" vertical="center" wrapText="1"/>
    </xf>
    <xf numFmtId="0" fontId="6" fillId="0" borderId="2" xfId="366" applyFont="1" applyFill="1" applyBorder="1" applyAlignment="1">
      <alignment horizontal="left" vertical="center"/>
    </xf>
    <xf numFmtId="0" fontId="6" fillId="0" borderId="5" xfId="366" applyFont="1" applyFill="1" applyBorder="1" applyAlignment="1">
      <alignment horizontal="left" vertical="center"/>
    </xf>
    <xf numFmtId="0" fontId="57" fillId="0" borderId="2" xfId="309" applyFont="1" applyBorder="1" applyAlignment="1">
      <alignment horizontal="center" vertical="center"/>
    </xf>
    <xf numFmtId="0" fontId="57" fillId="0" borderId="5" xfId="309" applyFont="1" applyBorder="1" applyAlignment="1">
      <alignment horizontal="center" vertical="center"/>
    </xf>
    <xf numFmtId="0" fontId="184" fillId="0" borderId="2" xfId="366" applyFont="1" applyFill="1" applyBorder="1" applyAlignment="1">
      <alignment horizontal="center" vertical="center"/>
    </xf>
    <xf numFmtId="0" fontId="184" fillId="0" borderId="4" xfId="366" applyFont="1" applyFill="1" applyBorder="1" applyAlignment="1">
      <alignment horizontal="center" vertical="center"/>
    </xf>
    <xf numFmtId="0" fontId="184" fillId="0" borderId="5" xfId="366" applyFont="1" applyFill="1" applyBorder="1" applyAlignment="1">
      <alignment horizontal="center" vertical="center"/>
    </xf>
    <xf numFmtId="0" fontId="184" fillId="0" borderId="49" xfId="366" applyFont="1" applyFill="1" applyBorder="1" applyAlignment="1">
      <alignment horizontal="center" vertical="center"/>
    </xf>
    <xf numFmtId="0" fontId="184" fillId="0" borderId="91" xfId="366" applyFont="1" applyFill="1" applyBorder="1" applyAlignment="1">
      <alignment horizontal="center" vertical="center"/>
    </xf>
    <xf numFmtId="0" fontId="184" fillId="0" borderId="92" xfId="366" applyFont="1" applyFill="1" applyBorder="1" applyAlignment="1">
      <alignment horizontal="center" vertical="center"/>
    </xf>
    <xf numFmtId="0" fontId="6" fillId="0" borderId="11" xfId="366" applyFont="1" applyFill="1" applyBorder="1" applyAlignment="1">
      <alignment horizontal="center" vertical="center"/>
    </xf>
    <xf numFmtId="0" fontId="6" fillId="0" borderId="14" xfId="366" applyFont="1" applyFill="1" applyBorder="1" applyAlignment="1">
      <alignment horizontal="center" vertical="center"/>
    </xf>
    <xf numFmtId="0" fontId="6" fillId="0" borderId="16" xfId="366" applyFont="1" applyFill="1" applyBorder="1" applyAlignment="1">
      <alignment horizontal="center" vertical="center"/>
    </xf>
    <xf numFmtId="0" fontId="184" fillId="0" borderId="10" xfId="366" applyFont="1" applyFill="1" applyBorder="1" applyAlignment="1">
      <alignment horizontal="center" vertical="center"/>
    </xf>
    <xf numFmtId="0" fontId="116" fillId="0" borderId="2" xfId="2" applyFont="1" applyFill="1" applyBorder="1" applyAlignment="1" applyProtection="1">
      <alignment horizontal="center" vertical="center"/>
      <protection hidden="1"/>
    </xf>
    <xf numFmtId="0" fontId="116" fillId="0" borderId="5" xfId="2" applyFont="1" applyFill="1" applyBorder="1" applyAlignment="1" applyProtection="1">
      <alignment horizontal="center" vertical="center"/>
      <protection hidden="1"/>
    </xf>
    <xf numFmtId="0" fontId="116" fillId="0" borderId="35" xfId="2" applyFont="1" applyFill="1" applyBorder="1" applyAlignment="1" applyProtection="1">
      <alignment vertical="center"/>
      <protection hidden="1"/>
    </xf>
    <xf numFmtId="0" fontId="116" fillId="0" borderId="41" xfId="2" applyFont="1" applyFill="1" applyBorder="1" applyAlignment="1" applyProtection="1">
      <alignment vertical="center"/>
      <protection hidden="1"/>
    </xf>
    <xf numFmtId="0" fontId="116" fillId="0" borderId="32" xfId="2" applyFont="1" applyFill="1" applyBorder="1" applyAlignment="1" applyProtection="1">
      <alignment vertical="center"/>
      <protection hidden="1"/>
    </xf>
    <xf numFmtId="0" fontId="116" fillId="0" borderId="33" xfId="2" applyFont="1" applyFill="1" applyBorder="1" applyAlignment="1" applyProtection="1">
      <alignment vertical="center"/>
      <protection hidden="1"/>
    </xf>
    <xf numFmtId="0" fontId="116" fillId="0" borderId="32" xfId="2" applyFont="1" applyFill="1" applyBorder="1" applyAlignment="1" applyProtection="1">
      <alignment horizontal="center" vertical="center"/>
      <protection hidden="1"/>
    </xf>
    <xf numFmtId="0" fontId="116" fillId="0" borderId="33" xfId="2" applyFont="1" applyFill="1" applyBorder="1" applyAlignment="1" applyProtection="1">
      <alignment horizontal="center" vertical="center"/>
      <protection hidden="1"/>
    </xf>
    <xf numFmtId="0" fontId="116" fillId="0" borderId="35" xfId="2" applyFont="1" applyFill="1" applyBorder="1" applyAlignment="1" applyProtection="1">
      <alignment horizontal="center" vertical="center"/>
      <protection hidden="1"/>
    </xf>
    <xf numFmtId="0" fontId="116" fillId="0" borderId="41" xfId="2" applyFont="1" applyFill="1" applyBorder="1" applyAlignment="1" applyProtection="1">
      <alignment horizontal="center" vertical="center"/>
      <protection hidden="1"/>
    </xf>
    <xf numFmtId="0" fontId="116" fillId="0" borderId="26" xfId="2" applyFont="1" applyFill="1" applyBorder="1" applyAlignment="1" applyProtection="1">
      <alignment horizontal="center" vertical="center"/>
      <protection hidden="1"/>
    </xf>
    <xf numFmtId="0" fontId="116" fillId="0" borderId="28" xfId="2" applyFont="1" applyFill="1" applyBorder="1" applyAlignment="1" applyProtection="1">
      <alignment horizontal="center" vertical="center"/>
      <protection hidden="1"/>
    </xf>
    <xf numFmtId="0" fontId="44" fillId="0" borderId="45" xfId="2" applyFont="1" applyBorder="1" applyAlignment="1" applyProtection="1">
      <alignment horizontal="left" vertical="center"/>
      <protection hidden="1"/>
    </xf>
    <xf numFmtId="0" fontId="44" fillId="0" borderId="33" xfId="2" applyFont="1" applyBorder="1" applyAlignment="1" applyProtection="1">
      <alignment horizontal="left" vertical="center"/>
      <protection hidden="1"/>
    </xf>
    <xf numFmtId="0" fontId="116" fillId="0" borderId="26" xfId="6" applyFont="1" applyFill="1" applyBorder="1" applyAlignment="1" applyProtection="1">
      <alignment horizontal="center" vertical="center"/>
      <protection hidden="1"/>
    </xf>
    <xf numFmtId="0" fontId="116" fillId="0" borderId="28" xfId="6" applyFont="1" applyFill="1" applyBorder="1" applyAlignment="1" applyProtection="1">
      <alignment horizontal="center" vertical="center"/>
      <protection hidden="1"/>
    </xf>
    <xf numFmtId="0" fontId="116" fillId="0" borderId="32" xfId="6" applyFont="1" applyFill="1" applyBorder="1" applyAlignment="1" applyProtection="1">
      <alignment horizontal="center" vertical="center"/>
      <protection hidden="1"/>
    </xf>
    <xf numFmtId="0" fontId="116" fillId="0" borderId="33" xfId="6" applyFont="1" applyFill="1" applyBorder="1" applyAlignment="1" applyProtection="1">
      <alignment horizontal="center" vertical="center"/>
      <protection hidden="1"/>
    </xf>
    <xf numFmtId="0" fontId="116" fillId="0" borderId="35" xfId="6" applyFont="1" applyFill="1" applyBorder="1" applyAlignment="1" applyProtection="1">
      <alignment horizontal="center" vertical="center"/>
      <protection hidden="1"/>
    </xf>
    <xf numFmtId="0" fontId="116" fillId="0" borderId="41" xfId="6" applyFont="1" applyFill="1" applyBorder="1" applyAlignment="1" applyProtection="1">
      <alignment horizontal="center" vertical="center"/>
      <protection hidden="1"/>
    </xf>
    <xf numFmtId="0" fontId="41" fillId="3" borderId="2" xfId="2" applyFont="1" applyFill="1" applyBorder="1" applyAlignment="1" applyProtection="1">
      <alignment horizontal="center" vertical="center"/>
      <protection hidden="1"/>
    </xf>
    <xf numFmtId="0" fontId="41" fillId="3" borderId="4" xfId="2" applyFont="1" applyFill="1" applyBorder="1" applyAlignment="1" applyProtection="1">
      <alignment horizontal="center" vertical="center"/>
      <protection hidden="1"/>
    </xf>
    <xf numFmtId="0" fontId="41" fillId="3" borderId="5" xfId="2" applyFont="1" applyFill="1" applyBorder="1" applyAlignment="1" applyProtection="1">
      <alignment horizontal="center" vertical="center"/>
      <protection hidden="1"/>
    </xf>
    <xf numFmtId="0" fontId="116" fillId="0" borderId="15" xfId="2" applyFont="1" applyFill="1" applyBorder="1" applyAlignment="1" applyProtection="1">
      <alignment horizontal="left" vertical="center"/>
      <protection hidden="1"/>
    </xf>
    <xf numFmtId="0" fontId="116" fillId="0" borderId="1" xfId="2" applyFont="1" applyFill="1" applyBorder="1" applyAlignment="1" applyProtection="1">
      <alignment horizontal="left" vertical="center"/>
      <protection hidden="1"/>
    </xf>
    <xf numFmtId="0" fontId="116" fillId="0" borderId="16" xfId="2" applyFont="1" applyFill="1" applyBorder="1" applyAlignment="1" applyProtection="1">
      <alignment horizontal="left" vertical="center"/>
      <protection hidden="1"/>
    </xf>
    <xf numFmtId="0" fontId="41" fillId="2" borderId="2" xfId="2" applyFont="1" applyFill="1" applyBorder="1" applyAlignment="1" applyProtection="1">
      <alignment horizontal="center" vertical="center"/>
      <protection hidden="1"/>
    </xf>
    <xf numFmtId="0" fontId="41" fillId="2" borderId="4" xfId="2" applyFont="1" applyFill="1" applyBorder="1" applyAlignment="1" applyProtection="1">
      <alignment horizontal="center" vertical="center"/>
      <protection hidden="1"/>
    </xf>
    <xf numFmtId="0" fontId="41" fillId="2" borderId="5" xfId="2" applyFont="1" applyFill="1" applyBorder="1" applyAlignment="1" applyProtection="1">
      <alignment horizontal="center" vertical="center"/>
      <protection hidden="1"/>
    </xf>
    <xf numFmtId="0" fontId="41" fillId="2" borderId="10" xfId="2" applyFont="1" applyFill="1" applyBorder="1" applyAlignment="1" applyProtection="1">
      <alignment horizontal="center" vertical="center"/>
      <protection hidden="1"/>
    </xf>
    <xf numFmtId="0" fontId="41" fillId="2" borderId="10" xfId="2" applyFont="1" applyFill="1" applyBorder="1" applyAlignment="1" applyProtection="1">
      <alignment horizontal="center"/>
      <protection hidden="1"/>
    </xf>
    <xf numFmtId="0" fontId="41" fillId="2" borderId="26" xfId="2" applyFont="1" applyFill="1" applyBorder="1" applyAlignment="1" applyProtection="1">
      <alignment horizontal="center"/>
      <protection hidden="1"/>
    </xf>
    <xf numFmtId="0" fontId="41" fillId="2" borderId="27" xfId="2" applyFont="1" applyFill="1" applyBorder="1" applyAlignment="1" applyProtection="1">
      <alignment horizontal="center"/>
      <protection hidden="1"/>
    </xf>
    <xf numFmtId="0" fontId="41" fillId="2" borderId="28" xfId="2" applyFont="1" applyFill="1" applyBorder="1" applyAlignment="1" applyProtection="1">
      <alignment horizontal="center"/>
      <protection hidden="1"/>
    </xf>
    <xf numFmtId="0" fontId="116" fillId="0" borderId="36" xfId="2" applyFont="1" applyFill="1" applyBorder="1" applyAlignment="1" applyProtection="1">
      <protection hidden="1"/>
    </xf>
    <xf numFmtId="0" fontId="116" fillId="0" borderId="38" xfId="2" applyFont="1" applyFill="1" applyBorder="1" applyAlignment="1" applyProtection="1">
      <protection hidden="1"/>
    </xf>
    <xf numFmtId="0" fontId="116" fillId="0" borderId="39" xfId="2" applyFont="1" applyFill="1" applyBorder="1" applyAlignment="1" applyProtection="1">
      <protection hidden="1"/>
    </xf>
    <xf numFmtId="0" fontId="116" fillId="0" borderId="35" xfId="2" applyFont="1" applyFill="1" applyBorder="1" applyAlignment="1" applyProtection="1">
      <alignment horizontal="left" vertical="center"/>
      <protection hidden="1"/>
    </xf>
    <xf numFmtId="0" fontId="116" fillId="0" borderId="40" xfId="2" applyFont="1" applyFill="1" applyBorder="1" applyAlignment="1" applyProtection="1">
      <alignment horizontal="left" vertical="center"/>
      <protection hidden="1"/>
    </xf>
    <xf numFmtId="0" fontId="116" fillId="0" borderId="41" xfId="2" applyFont="1" applyFill="1" applyBorder="1" applyAlignment="1" applyProtection="1">
      <alignment horizontal="left" vertical="center"/>
      <protection hidden="1"/>
    </xf>
    <xf numFmtId="0" fontId="41" fillId="2" borderId="26" xfId="2" applyFont="1" applyFill="1" applyBorder="1" applyAlignment="1" applyProtection="1">
      <alignment horizontal="center" vertical="center"/>
      <protection hidden="1"/>
    </xf>
    <xf numFmtId="0" fontId="41" fillId="2" borderId="27" xfId="2" applyFont="1" applyFill="1" applyBorder="1" applyAlignment="1" applyProtection="1">
      <alignment horizontal="center" vertical="center"/>
      <protection hidden="1"/>
    </xf>
    <xf numFmtId="0" fontId="41" fillId="2" borderId="28" xfId="2" applyFont="1" applyFill="1" applyBorder="1" applyAlignment="1" applyProtection="1">
      <alignment horizontal="center" vertical="center"/>
      <protection hidden="1"/>
    </xf>
    <xf numFmtId="0" fontId="41" fillId="0" borderId="10" xfId="2" applyFont="1" applyBorder="1" applyAlignment="1" applyProtection="1">
      <alignment horizontal="right" vertical="center" wrapText="1"/>
      <protection hidden="1"/>
    </xf>
    <xf numFmtId="0" fontId="116" fillId="0" borderId="32" xfId="2" applyFont="1" applyFill="1" applyBorder="1" applyAlignment="1" applyProtection="1">
      <alignment horizontal="left" vertical="center"/>
      <protection hidden="1"/>
    </xf>
    <xf numFmtId="0" fontId="116" fillId="0" borderId="33" xfId="2" applyFont="1" applyFill="1" applyBorder="1" applyAlignment="1" applyProtection="1">
      <alignment horizontal="left" vertical="center"/>
      <protection hidden="1"/>
    </xf>
    <xf numFmtId="0" fontId="116" fillId="0" borderId="26" xfId="6" applyFont="1" applyFill="1" applyBorder="1" applyAlignment="1" applyProtection="1">
      <alignment horizontal="left" vertical="center"/>
      <protection hidden="1"/>
    </xf>
    <xf numFmtId="0" fontId="116" fillId="0" borderId="28" xfId="6" applyFont="1" applyFill="1" applyBorder="1" applyAlignment="1" applyProtection="1">
      <alignment horizontal="left" vertical="center"/>
      <protection hidden="1"/>
    </xf>
    <xf numFmtId="0" fontId="116" fillId="0" borderId="26" xfId="2" applyFont="1" applyFill="1" applyBorder="1" applyAlignment="1" applyProtection="1">
      <alignment horizontal="left" vertical="center"/>
      <protection hidden="1"/>
    </xf>
    <xf numFmtId="0" fontId="116" fillId="0" borderId="28" xfId="2" applyFont="1" applyFill="1" applyBorder="1" applyAlignment="1" applyProtection="1">
      <alignment horizontal="left" vertical="center"/>
      <protection hidden="1"/>
    </xf>
    <xf numFmtId="0" fontId="116" fillId="0" borderId="36" xfId="2" applyFont="1" applyFill="1" applyBorder="1" applyAlignment="1" applyProtection="1">
      <alignment horizontal="left" vertical="center"/>
      <protection hidden="1"/>
    </xf>
    <xf numFmtId="0" fontId="116" fillId="0" borderId="39" xfId="2" applyFont="1" applyFill="1" applyBorder="1" applyAlignment="1" applyProtection="1">
      <alignment horizontal="left" vertical="center"/>
      <protection hidden="1"/>
    </xf>
    <xf numFmtId="0" fontId="76" fillId="4" borderId="2" xfId="1" applyFont="1" applyFill="1" applyBorder="1" applyAlignment="1" applyProtection="1">
      <alignment horizontal="center" vertical="center"/>
      <protection hidden="1"/>
    </xf>
    <xf numFmtId="0" fontId="76" fillId="4" borderId="4" xfId="1" applyFont="1" applyFill="1" applyBorder="1" applyAlignment="1" applyProtection="1">
      <alignment horizontal="center" vertical="center"/>
      <protection hidden="1"/>
    </xf>
    <xf numFmtId="0" fontId="116" fillId="0" borderId="2" xfId="2" applyFont="1" applyFill="1" applyBorder="1" applyAlignment="1" applyProtection="1">
      <alignment vertical="center"/>
      <protection hidden="1"/>
    </xf>
    <xf numFmtId="0" fontId="116" fillId="0" borderId="5" xfId="2" applyFont="1" applyFill="1" applyBorder="1" applyAlignment="1" applyProtection="1">
      <alignment vertical="center"/>
      <protection hidden="1"/>
    </xf>
    <xf numFmtId="0" fontId="44" fillId="0" borderId="0" xfId="2" applyFont="1" applyBorder="1" applyAlignment="1" applyProtection="1">
      <alignment horizontal="center"/>
      <protection hidden="1"/>
    </xf>
    <xf numFmtId="0" fontId="44" fillId="0" borderId="90" xfId="2" applyFont="1" applyBorder="1" applyAlignment="1" applyProtection="1">
      <alignment horizontal="center"/>
      <protection hidden="1"/>
    </xf>
    <xf numFmtId="0" fontId="116" fillId="0" borderId="40" xfId="2" applyFont="1" applyFill="1" applyBorder="1" applyAlignment="1" applyProtection="1">
      <alignment vertical="center"/>
      <protection hidden="1"/>
    </xf>
    <xf numFmtId="0" fontId="116" fillId="0" borderId="26" xfId="2" applyFont="1" applyFill="1" applyBorder="1" applyAlignment="1" applyProtection="1">
      <alignment vertical="center"/>
      <protection hidden="1"/>
    </xf>
    <xf numFmtId="0" fontId="116" fillId="0" borderId="27" xfId="2" applyFont="1" applyFill="1" applyBorder="1" applyAlignment="1" applyProtection="1">
      <alignment vertical="center"/>
      <protection hidden="1"/>
    </xf>
    <xf numFmtId="0" fontId="116" fillId="0" borderId="28" xfId="2" applyFont="1" applyFill="1" applyBorder="1" applyAlignment="1" applyProtection="1">
      <alignment vertical="center"/>
      <protection hidden="1"/>
    </xf>
    <xf numFmtId="0" fontId="76" fillId="3" borderId="10" xfId="2" applyFont="1" applyFill="1" applyBorder="1" applyAlignment="1">
      <alignment horizontal="center" vertical="center" wrapText="1"/>
    </xf>
    <xf numFmtId="0" fontId="76" fillId="3" borderId="10" xfId="2" applyFont="1" applyFill="1" applyBorder="1" applyAlignment="1">
      <alignment horizontal="center" vertical="center"/>
    </xf>
    <xf numFmtId="0" fontId="76" fillId="3" borderId="10" xfId="2" applyNumberFormat="1" applyFont="1" applyFill="1" applyBorder="1" applyAlignment="1">
      <alignment horizontal="center" vertical="center"/>
    </xf>
    <xf numFmtId="0" fontId="41" fillId="2" borderId="10" xfId="2" applyFont="1" applyFill="1" applyBorder="1" applyAlignment="1" applyProtection="1">
      <alignment horizontal="left" vertical="center"/>
      <protection hidden="1"/>
    </xf>
    <xf numFmtId="0" fontId="163" fillId="0" borderId="0" xfId="1" applyFont="1" applyBorder="1" applyAlignment="1" applyProtection="1">
      <alignment horizontal="center"/>
      <protection hidden="1"/>
    </xf>
    <xf numFmtId="0" fontId="57" fillId="4" borderId="8" xfId="1" applyFont="1" applyFill="1" applyBorder="1" applyAlignment="1" applyProtection="1">
      <alignment horizontal="center" vertical="center"/>
      <protection hidden="1"/>
    </xf>
    <xf numFmtId="0" fontId="57" fillId="4" borderId="11" xfId="1" applyFont="1" applyFill="1" applyBorder="1" applyAlignment="1" applyProtection="1">
      <alignment horizontal="center" vertical="center"/>
      <protection hidden="1"/>
    </xf>
    <xf numFmtId="0" fontId="78" fillId="0" borderId="2" xfId="0" applyFont="1" applyBorder="1" applyAlignment="1">
      <alignment horizontal="center" vertical="center"/>
    </xf>
    <xf numFmtId="0" fontId="78" fillId="0" borderId="5" xfId="0" applyFont="1" applyBorder="1" applyAlignment="1">
      <alignment horizontal="center" vertical="center"/>
    </xf>
    <xf numFmtId="0" fontId="78" fillId="0" borderId="2" xfId="0" applyFont="1" applyFill="1" applyBorder="1" applyAlignment="1">
      <alignment horizontal="center" vertical="center"/>
    </xf>
    <xf numFmtId="0" fontId="78" fillId="0" borderId="5" xfId="0" applyFont="1" applyFill="1" applyBorder="1" applyAlignment="1">
      <alignment horizontal="center" vertical="center"/>
    </xf>
    <xf numFmtId="0" fontId="82" fillId="0" borderId="10" xfId="0" applyFont="1" applyFill="1" applyBorder="1" applyAlignment="1">
      <alignment horizontal="left" vertical="top" wrapText="1"/>
    </xf>
    <xf numFmtId="0" fontId="78" fillId="0" borderId="3" xfId="0" applyFont="1" applyBorder="1" applyAlignment="1">
      <alignment horizontal="center" vertical="center"/>
    </xf>
    <xf numFmtId="0" fontId="78" fillId="0" borderId="9" xfId="0" applyFont="1" applyBorder="1" applyAlignment="1">
      <alignment horizontal="center" vertical="center"/>
    </xf>
    <xf numFmtId="0" fontId="78" fillId="57" borderId="2" xfId="0" applyFont="1" applyFill="1" applyBorder="1" applyAlignment="1">
      <alignment horizontal="center" vertical="center"/>
    </xf>
    <xf numFmtId="0" fontId="78" fillId="57" borderId="5" xfId="0" applyFont="1" applyFill="1" applyBorder="1" applyAlignment="1">
      <alignment horizontal="center" vertical="center"/>
    </xf>
    <xf numFmtId="0" fontId="208" fillId="3" borderId="10" xfId="0" applyFont="1" applyFill="1" applyBorder="1" applyAlignment="1">
      <alignment horizontal="center" vertical="center"/>
    </xf>
    <xf numFmtId="0" fontId="82" fillId="0" borderId="9" xfId="0" applyFont="1" applyFill="1" applyBorder="1" applyAlignment="1">
      <alignment horizontal="left" vertical="top" wrapText="1"/>
    </xf>
    <xf numFmtId="0" fontId="82" fillId="0" borderId="2" xfId="0" applyFont="1" applyFill="1" applyBorder="1" applyAlignment="1">
      <alignment horizontal="left" vertical="top" wrapText="1"/>
    </xf>
    <xf numFmtId="0" fontId="82" fillId="0" borderId="4" xfId="0" applyFont="1" applyFill="1" applyBorder="1" applyAlignment="1">
      <alignment horizontal="left" vertical="top" wrapText="1"/>
    </xf>
    <xf numFmtId="0" fontId="82" fillId="0" borderId="5" xfId="0" applyFont="1" applyFill="1" applyBorder="1" applyAlignment="1">
      <alignment horizontal="left" vertical="top" wrapText="1"/>
    </xf>
    <xf numFmtId="0" fontId="78" fillId="0" borderId="8" xfId="0" applyFont="1" applyFill="1" applyBorder="1" applyAlignment="1">
      <alignment horizontal="center" vertical="center"/>
    </xf>
    <xf numFmtId="0" fontId="78" fillId="0" borderId="11" xfId="0" applyFont="1" applyFill="1" applyBorder="1" applyAlignment="1">
      <alignment horizontal="center" vertical="center"/>
    </xf>
    <xf numFmtId="0" fontId="78" fillId="0" borderId="3" xfId="0" applyFont="1" applyBorder="1" applyAlignment="1">
      <alignment horizontal="center" vertical="center" wrapText="1"/>
    </xf>
    <xf numFmtId="0" fontId="78" fillId="0" borderId="7" xfId="0" applyFont="1" applyBorder="1" applyAlignment="1">
      <alignment horizontal="center" vertical="center"/>
    </xf>
    <xf numFmtId="0" fontId="0" fillId="0" borderId="5" xfId="0" applyFill="1" applyBorder="1"/>
    <xf numFmtId="0" fontId="0" fillId="0" borderId="0" xfId="0" applyAlignment="1">
      <alignment horizontal="center"/>
    </xf>
    <xf numFmtId="0" fontId="189" fillId="0" borderId="89" xfId="0" applyFont="1" applyBorder="1" applyAlignment="1">
      <alignment horizontal="center" vertical="center"/>
    </xf>
    <xf numFmtId="14" fontId="6" fillId="0" borderId="1" xfId="2" applyNumberFormat="1" applyFont="1" applyBorder="1" applyAlignment="1" applyProtection="1">
      <alignment horizontal="center" vertical="center"/>
      <protection hidden="1"/>
    </xf>
    <xf numFmtId="0" fontId="79" fillId="3" borderId="8" xfId="0" applyFont="1" applyFill="1" applyBorder="1" applyAlignment="1">
      <alignment horizontal="center" vertical="center"/>
    </xf>
    <xf numFmtId="0" fontId="79" fillId="3" borderId="11" xfId="0" applyFont="1" applyFill="1" applyBorder="1" applyAlignment="1">
      <alignment horizontal="center" vertical="center"/>
    </xf>
    <xf numFmtId="0" fontId="208" fillId="3" borderId="88" xfId="0" applyFont="1" applyFill="1" applyBorder="1" applyAlignment="1">
      <alignment horizontal="center" vertical="center"/>
    </xf>
    <xf numFmtId="0" fontId="208" fillId="3" borderId="87" xfId="0" applyFont="1" applyFill="1" applyBorder="1" applyAlignment="1">
      <alignment horizontal="center" vertical="center"/>
    </xf>
    <xf numFmtId="0" fontId="208" fillId="3" borderId="86" xfId="0" applyFont="1" applyFill="1" applyBorder="1" applyAlignment="1">
      <alignment horizontal="center" vertical="center"/>
    </xf>
    <xf numFmtId="0" fontId="142" fillId="0" borderId="10" xfId="366" applyFont="1" applyBorder="1" applyAlignment="1">
      <alignment horizontal="center"/>
    </xf>
    <xf numFmtId="0" fontId="162" fillId="4" borderId="3" xfId="1" applyFont="1" applyFill="1" applyBorder="1" applyAlignment="1">
      <alignment horizontal="center" vertical="center"/>
    </xf>
    <xf numFmtId="0" fontId="162" fillId="4" borderId="9" xfId="1" applyFont="1" applyFill="1" applyBorder="1" applyAlignment="1">
      <alignment horizontal="center" vertical="center"/>
    </xf>
    <xf numFmtId="0" fontId="99" fillId="4" borderId="2" xfId="1" applyFont="1" applyFill="1" applyBorder="1" applyAlignment="1">
      <alignment horizontal="center" vertical="center" wrapText="1"/>
    </xf>
    <xf numFmtId="0" fontId="99" fillId="4" borderId="4" xfId="1" applyFont="1" applyFill="1" applyBorder="1" applyAlignment="1">
      <alignment horizontal="center" vertical="center" wrapText="1"/>
    </xf>
    <xf numFmtId="9" fontId="100" fillId="0" borderId="2" xfId="1" applyNumberFormat="1" applyFont="1" applyBorder="1" applyAlignment="1">
      <alignment horizontal="center" vertical="center"/>
    </xf>
    <xf numFmtId="9" fontId="100" fillId="0" borderId="4" xfId="1" applyNumberFormat="1" applyFont="1" applyBorder="1" applyAlignment="1">
      <alignment horizontal="center" vertical="center"/>
    </xf>
    <xf numFmtId="0" fontId="94" fillId="0" borderId="3" xfId="366" applyFont="1" applyBorder="1" applyAlignment="1">
      <alignment horizontal="center"/>
    </xf>
    <xf numFmtId="0" fontId="94" fillId="0" borderId="7" xfId="366" applyFont="1" applyBorder="1" applyAlignment="1">
      <alignment horizontal="center"/>
    </xf>
    <xf numFmtId="0" fontId="94" fillId="0" borderId="9" xfId="366" applyFont="1" applyBorder="1" applyAlignment="1">
      <alignment horizontal="center"/>
    </xf>
    <xf numFmtId="3" fontId="100" fillId="0" borderId="10" xfId="366" applyNumberFormat="1" applyFont="1" applyFill="1" applyBorder="1" applyAlignment="1">
      <alignment horizontal="center" vertical="center"/>
    </xf>
    <xf numFmtId="0" fontId="102" fillId="0" borderId="2" xfId="366" applyFont="1" applyBorder="1" applyAlignment="1">
      <alignment horizontal="left" vertical="center" wrapText="1"/>
    </xf>
    <xf numFmtId="0" fontId="102" fillId="0" borderId="5" xfId="366" applyFont="1" applyBorder="1" applyAlignment="1">
      <alignment horizontal="left" vertical="center" wrapText="1"/>
    </xf>
    <xf numFmtId="0" fontId="89" fillId="0" borderId="0" xfId="366" applyFont="1" applyBorder="1" applyAlignment="1">
      <alignment horizontal="center"/>
    </xf>
    <xf numFmtId="0" fontId="89" fillId="0" borderId="90" xfId="366" applyFont="1" applyBorder="1" applyAlignment="1">
      <alignment horizontal="center"/>
    </xf>
    <xf numFmtId="0" fontId="91" fillId="0" borderId="0" xfId="366" applyFont="1" applyAlignment="1">
      <alignment horizontal="center" vertical="center"/>
    </xf>
    <xf numFmtId="0" fontId="103" fillId="2" borderId="2" xfId="366" applyFont="1" applyFill="1" applyBorder="1" applyAlignment="1">
      <alignment horizontal="center" vertical="center"/>
    </xf>
    <xf numFmtId="0" fontId="103" fillId="2" borderId="5" xfId="366" applyFont="1" applyFill="1" applyBorder="1" applyAlignment="1">
      <alignment horizontal="center" vertical="center"/>
    </xf>
    <xf numFmtId="3" fontId="100" fillId="0" borderId="2" xfId="366" applyNumberFormat="1" applyFont="1" applyFill="1" applyBorder="1" applyAlignment="1">
      <alignment horizontal="center" vertical="center"/>
    </xf>
    <xf numFmtId="3" fontId="100" fillId="0" borderId="5" xfId="366" applyNumberFormat="1" applyFont="1" applyFill="1" applyBorder="1" applyAlignment="1">
      <alignment horizontal="center" vertical="center"/>
    </xf>
    <xf numFmtId="0" fontId="102" fillId="0" borderId="2" xfId="366" applyFont="1" applyBorder="1" applyAlignment="1">
      <alignment horizontal="left" vertical="top" wrapText="1"/>
    </xf>
    <xf numFmtId="0" fontId="102" fillId="0" borderId="5" xfId="366" applyFont="1" applyBorder="1" applyAlignment="1">
      <alignment horizontal="left" vertical="top" wrapText="1"/>
    </xf>
    <xf numFmtId="0" fontId="105" fillId="0" borderId="2" xfId="2" applyFont="1" applyFill="1" applyBorder="1" applyAlignment="1">
      <alignment horizontal="left" vertical="center"/>
    </xf>
    <xf numFmtId="0" fontId="105" fillId="0" borderId="4" xfId="2" applyFont="1" applyFill="1" applyBorder="1" applyAlignment="1">
      <alignment horizontal="left" vertical="center"/>
    </xf>
    <xf numFmtId="0" fontId="105" fillId="0" borderId="5" xfId="2" applyFont="1" applyFill="1" applyBorder="1" applyAlignment="1">
      <alignment horizontal="left" vertical="center"/>
    </xf>
    <xf numFmtId="0" fontId="108" fillId="4" borderId="10" xfId="1" applyFont="1" applyFill="1" applyBorder="1" applyAlignment="1">
      <alignment horizontal="center" vertical="center"/>
    </xf>
    <xf numFmtId="0" fontId="103" fillId="50" borderId="10" xfId="366" applyFont="1" applyFill="1" applyBorder="1" applyAlignment="1">
      <alignment horizontal="center" vertical="center" wrapText="1"/>
    </xf>
    <xf numFmtId="9" fontId="94" fillId="0" borderId="10" xfId="366" applyNumberFormat="1" applyFont="1" applyBorder="1" applyAlignment="1">
      <alignment horizontal="center" vertical="center"/>
    </xf>
    <xf numFmtId="0" fontId="94" fillId="0" borderId="10" xfId="366" applyFont="1" applyBorder="1" applyAlignment="1">
      <alignment horizontal="center" vertical="center"/>
    </xf>
    <xf numFmtId="9" fontId="94" fillId="0" borderId="10" xfId="366" applyNumberFormat="1" applyFont="1" applyBorder="1" applyAlignment="1">
      <alignment horizontal="center" vertical="center" wrapText="1"/>
    </xf>
    <xf numFmtId="0" fontId="94" fillId="0" borderId="10" xfId="366" applyFont="1" applyBorder="1" applyAlignment="1">
      <alignment horizontal="center" vertical="center" wrapText="1"/>
    </xf>
    <xf numFmtId="0" fontId="97" fillId="0" borderId="3" xfId="366" applyFont="1" applyFill="1" applyBorder="1" applyAlignment="1">
      <alignment horizontal="center"/>
    </xf>
    <xf numFmtId="0" fontId="97" fillId="0" borderId="7" xfId="366" applyFont="1" applyFill="1" applyBorder="1" applyAlignment="1">
      <alignment horizontal="center"/>
    </xf>
    <xf numFmtId="0" fontId="97" fillId="0" borderId="9" xfId="366" applyFont="1" applyFill="1" applyBorder="1" applyAlignment="1">
      <alignment horizontal="center"/>
    </xf>
    <xf numFmtId="9" fontId="110" fillId="0" borderId="10" xfId="1" applyNumberFormat="1" applyFont="1" applyBorder="1" applyAlignment="1">
      <alignment horizontal="center" vertical="center"/>
    </xf>
    <xf numFmtId="0" fontId="97" fillId="0" borderId="10" xfId="366" applyFont="1" applyFill="1" applyBorder="1" applyAlignment="1">
      <alignment horizontal="center"/>
    </xf>
    <xf numFmtId="0" fontId="102" fillId="0" borderId="2" xfId="366" applyFont="1" applyBorder="1" applyAlignment="1">
      <alignment vertical="center" wrapText="1"/>
    </xf>
    <xf numFmtId="0" fontId="102" fillId="0" borderId="5" xfId="366" applyFont="1" applyBorder="1" applyAlignment="1">
      <alignment vertical="center" wrapText="1"/>
    </xf>
    <xf numFmtId="3" fontId="102" fillId="0" borderId="2" xfId="366" applyNumberFormat="1" applyFont="1" applyBorder="1" applyAlignment="1">
      <alignment horizontal="center" vertical="center"/>
    </xf>
    <xf numFmtId="3" fontId="102" fillId="0" borderId="5" xfId="366" applyNumberFormat="1" applyFont="1" applyBorder="1" applyAlignment="1">
      <alignment horizontal="center" vertical="center"/>
    </xf>
    <xf numFmtId="0" fontId="0" fillId="0" borderId="5" xfId="0" applyBorder="1" applyAlignment="1">
      <alignment vertical="center" wrapText="1"/>
    </xf>
    <xf numFmtId="3" fontId="100" fillId="57" borderId="2" xfId="366" applyNumberFormat="1" applyFont="1" applyFill="1" applyBorder="1" applyAlignment="1">
      <alignment horizontal="center" vertical="center"/>
    </xf>
    <xf numFmtId="3" fontId="100" fillId="57" borderId="5" xfId="366" applyNumberFormat="1" applyFont="1" applyFill="1" applyBorder="1" applyAlignment="1">
      <alignment horizontal="center" vertical="center"/>
    </xf>
    <xf numFmtId="0" fontId="103" fillId="0" borderId="3" xfId="366" applyFont="1" applyBorder="1" applyAlignment="1">
      <alignment horizontal="center" vertical="center" wrapText="1"/>
    </xf>
    <xf numFmtId="0" fontId="103" fillId="0" borderId="9" xfId="366" applyFont="1" applyBorder="1" applyAlignment="1">
      <alignment horizontal="center" vertical="center" wrapText="1"/>
    </xf>
    <xf numFmtId="0" fontId="102" fillId="0" borderId="3" xfId="366" applyFont="1" applyBorder="1" applyAlignment="1">
      <alignment horizontal="center" vertical="center"/>
    </xf>
    <xf numFmtId="0" fontId="102" fillId="0" borderId="9" xfId="366" applyFont="1" applyBorder="1" applyAlignment="1">
      <alignment horizontal="center" vertical="center"/>
    </xf>
    <xf numFmtId="3" fontId="102" fillId="0" borderId="3" xfId="366" applyNumberFormat="1" applyFont="1" applyBorder="1" applyAlignment="1">
      <alignment horizontal="center" vertical="center"/>
    </xf>
    <xf numFmtId="3" fontId="102" fillId="0" borderId="9" xfId="366" applyNumberFormat="1" applyFont="1" applyBorder="1" applyAlignment="1">
      <alignment horizontal="center" vertical="center"/>
    </xf>
    <xf numFmtId="0" fontId="102" fillId="0" borderId="11" xfId="366" applyFont="1" applyBorder="1" applyAlignment="1">
      <alignment horizontal="left" vertical="top" wrapText="1"/>
    </xf>
    <xf numFmtId="0" fontId="102" fillId="0" borderId="16" xfId="366" applyFont="1" applyBorder="1" applyAlignment="1">
      <alignment horizontal="left" vertical="top" wrapText="1"/>
    </xf>
    <xf numFmtId="0" fontId="102" fillId="0" borderId="8" xfId="366" applyFont="1" applyBorder="1" applyAlignment="1">
      <alignment horizontal="left" vertical="top" wrapText="1"/>
    </xf>
    <xf numFmtId="0" fontId="102" fillId="0" borderId="15" xfId="366" applyFont="1" applyBorder="1" applyAlignment="1">
      <alignment horizontal="left" vertical="top" wrapText="1"/>
    </xf>
    <xf numFmtId="0" fontId="97" fillId="0" borderId="0" xfId="366" applyFont="1" applyFill="1" applyBorder="1" applyAlignment="1">
      <alignment horizontal="left" vertical="center" wrapText="1"/>
    </xf>
    <xf numFmtId="0" fontId="97" fillId="0" borderId="0" xfId="366" applyFont="1" applyFill="1" applyBorder="1" applyAlignment="1">
      <alignment horizontal="left" vertical="center"/>
    </xf>
    <xf numFmtId="0" fontId="102" fillId="0" borderId="8" xfId="366" applyFont="1" applyBorder="1" applyAlignment="1">
      <alignment horizontal="left" vertical="center" wrapText="1"/>
    </xf>
    <xf numFmtId="0" fontId="102" fillId="0" borderId="11" xfId="366" applyFont="1" applyBorder="1" applyAlignment="1">
      <alignment horizontal="left" vertical="center" wrapText="1"/>
    </xf>
    <xf numFmtId="0" fontId="102" fillId="0" borderId="15" xfId="366" applyFont="1" applyBorder="1" applyAlignment="1">
      <alignment horizontal="left" vertical="center" wrapText="1"/>
    </xf>
    <xf numFmtId="0" fontId="102" fillId="0" borderId="16" xfId="366" applyFont="1" applyBorder="1" applyAlignment="1">
      <alignment horizontal="left" vertical="center" wrapText="1"/>
    </xf>
    <xf numFmtId="0" fontId="10" fillId="0" borderId="0" xfId="0" applyFont="1" applyBorder="1" applyAlignment="1">
      <alignment horizontal="center" vertical="center"/>
    </xf>
    <xf numFmtId="0" fontId="61" fillId="0" borderId="0" xfId="271" applyFont="1" applyBorder="1" applyAlignment="1">
      <alignment horizontal="center"/>
    </xf>
    <xf numFmtId="0" fontId="61" fillId="0" borderId="90" xfId="271" applyFont="1" applyBorder="1" applyAlignment="1">
      <alignment horizontal="center"/>
    </xf>
    <xf numFmtId="3" fontId="113" fillId="0" borderId="2" xfId="271" applyNumberFormat="1" applyFont="1" applyBorder="1" applyAlignment="1">
      <alignment horizontal="center" vertical="center"/>
    </xf>
    <xf numFmtId="3" fontId="113" fillId="0" borderId="4" xfId="271" applyNumberFormat="1" applyFont="1" applyBorder="1" applyAlignment="1">
      <alignment horizontal="center" vertical="center"/>
    </xf>
    <xf numFmtId="3" fontId="113" fillId="0" borderId="5" xfId="271" applyNumberFormat="1" applyFont="1" applyBorder="1" applyAlignment="1">
      <alignment horizontal="center" vertical="center"/>
    </xf>
    <xf numFmtId="0" fontId="179" fillId="0" borderId="0" xfId="1" applyFont="1" applyAlignment="1">
      <alignment horizontal="center"/>
    </xf>
    <xf numFmtId="0" fontId="114" fillId="2" borderId="3" xfId="271" applyFont="1" applyFill="1" applyBorder="1" applyAlignment="1">
      <alignment horizontal="center" vertical="center" wrapText="1"/>
    </xf>
    <xf numFmtId="0" fontId="114" fillId="2" borderId="9" xfId="271" applyFont="1" applyFill="1" applyBorder="1" applyAlignment="1">
      <alignment horizontal="center" vertical="center" wrapText="1"/>
    </xf>
    <xf numFmtId="0" fontId="114" fillId="2" borderId="3" xfId="271" applyFont="1" applyFill="1" applyBorder="1" applyAlignment="1">
      <alignment horizontal="center" vertical="center"/>
    </xf>
    <xf numFmtId="0" fontId="114" fillId="2" borderId="9" xfId="271" applyFont="1" applyFill="1" applyBorder="1" applyAlignment="1">
      <alignment horizontal="center" vertical="center"/>
    </xf>
    <xf numFmtId="0" fontId="114" fillId="2" borderId="2" xfId="271" applyFont="1" applyFill="1" applyBorder="1" applyAlignment="1">
      <alignment horizontal="center"/>
    </xf>
    <xf numFmtId="0" fontId="114" fillId="2" borderId="4" xfId="271" applyFont="1" applyFill="1" applyBorder="1" applyAlignment="1">
      <alignment horizontal="center"/>
    </xf>
    <xf numFmtId="0" fontId="114" fillId="2" borderId="5" xfId="271" applyFont="1" applyFill="1" applyBorder="1" applyAlignment="1">
      <alignment horizontal="center"/>
    </xf>
    <xf numFmtId="0" fontId="64" fillId="4" borderId="10" xfId="1" applyFont="1" applyFill="1" applyBorder="1" applyAlignment="1">
      <alignment horizontal="center" vertical="center"/>
    </xf>
    <xf numFmtId="0" fontId="113" fillId="0" borderId="2" xfId="271" applyNumberFormat="1" applyFont="1" applyFill="1" applyBorder="1" applyAlignment="1">
      <alignment horizontal="center" vertical="center"/>
    </xf>
    <xf numFmtId="0" fontId="113" fillId="0" borderId="4" xfId="271" applyNumberFormat="1" applyFont="1" applyFill="1" applyBorder="1" applyAlignment="1">
      <alignment horizontal="center" vertical="center"/>
    </xf>
    <xf numFmtId="0" fontId="113" fillId="0" borderId="5" xfId="271" applyNumberFormat="1" applyFont="1" applyFill="1" applyBorder="1" applyAlignment="1">
      <alignment horizontal="center" vertical="center"/>
    </xf>
    <xf numFmtId="0" fontId="113" fillId="0" borderId="2" xfId="0" applyFont="1" applyBorder="1" applyAlignment="1">
      <alignment horizontal="center" vertical="center"/>
    </xf>
    <xf numFmtId="0" fontId="113" fillId="0" borderId="4" xfId="0" applyFont="1" applyBorder="1" applyAlignment="1">
      <alignment horizontal="center" vertical="center"/>
    </xf>
    <xf numFmtId="0" fontId="113" fillId="0" borderId="5" xfId="0" applyFont="1" applyBorder="1" applyAlignment="1">
      <alignment horizontal="center" vertical="center"/>
    </xf>
    <xf numFmtId="0" fontId="6" fillId="0" borderId="0" xfId="271" applyFont="1" applyBorder="1" applyAlignment="1">
      <alignment horizontal="center"/>
    </xf>
    <xf numFmtId="0" fontId="6" fillId="0" borderId="90" xfId="271" applyFont="1" applyBorder="1" applyAlignment="1">
      <alignment horizontal="center"/>
    </xf>
    <xf numFmtId="0" fontId="10" fillId="0" borderId="10" xfId="0" applyFont="1" applyBorder="1" applyAlignment="1">
      <alignment horizontal="center" vertical="center"/>
    </xf>
    <xf numFmtId="3" fontId="10" fillId="0" borderId="10" xfId="271" applyNumberFormat="1" applyFont="1" applyBorder="1" applyAlignment="1">
      <alignment horizontal="center" vertical="center"/>
    </xf>
    <xf numFmtId="0" fontId="123" fillId="0" borderId="0" xfId="271" applyFont="1" applyAlignment="1">
      <alignment horizontal="center" vertical="top"/>
    </xf>
    <xf numFmtId="14" fontId="10" fillId="0" borderId="1" xfId="271" applyNumberFormat="1" applyFont="1" applyBorder="1" applyAlignment="1">
      <alignment horizontal="left" vertical="center"/>
    </xf>
    <xf numFmtId="0" fontId="9" fillId="2" borderId="8" xfId="271" applyFont="1" applyFill="1" applyBorder="1" applyAlignment="1">
      <alignment horizontal="center" vertical="center" wrapText="1"/>
    </xf>
    <xf numFmtId="0" fontId="9" fillId="2" borderId="11" xfId="271" applyFont="1" applyFill="1" applyBorder="1" applyAlignment="1">
      <alignment horizontal="center" vertical="center" wrapText="1"/>
    </xf>
    <xf numFmtId="0" fontId="9" fillId="2" borderId="6" xfId="271" applyFont="1" applyFill="1" applyBorder="1" applyAlignment="1">
      <alignment horizontal="center" vertical="center" wrapText="1"/>
    </xf>
    <xf numFmtId="0" fontId="9" fillId="2" borderId="14" xfId="271" applyFont="1" applyFill="1" applyBorder="1" applyAlignment="1">
      <alignment horizontal="center" vertical="center" wrapText="1"/>
    </xf>
    <xf numFmtId="0" fontId="9" fillId="2" borderId="3" xfId="271" applyFont="1" applyFill="1" applyBorder="1" applyAlignment="1">
      <alignment horizontal="center" vertical="center"/>
    </xf>
    <xf numFmtId="0" fontId="9" fillId="2" borderId="7" xfId="271" applyFont="1" applyFill="1" applyBorder="1" applyAlignment="1">
      <alignment horizontal="center" vertical="center"/>
    </xf>
    <xf numFmtId="0" fontId="9" fillId="2" borderId="9" xfId="271" applyFont="1" applyFill="1" applyBorder="1" applyAlignment="1">
      <alignment horizontal="center" vertical="center"/>
    </xf>
    <xf numFmtId="0" fontId="6" fillId="2" borderId="3" xfId="271" applyFont="1" applyFill="1" applyBorder="1" applyAlignment="1">
      <alignment horizontal="center"/>
    </xf>
    <xf numFmtId="0" fontId="6" fillId="2" borderId="7" xfId="271" applyFont="1" applyFill="1" applyBorder="1" applyAlignment="1">
      <alignment horizontal="center"/>
    </xf>
    <xf numFmtId="0" fontId="6" fillId="2" borderId="9" xfId="271" applyFont="1" applyFill="1" applyBorder="1" applyAlignment="1">
      <alignment horizontal="center"/>
    </xf>
    <xf numFmtId="0" fontId="12" fillId="4" borderId="10" xfId="1" applyFont="1" applyFill="1" applyBorder="1" applyAlignment="1">
      <alignment horizontal="center" vertical="center" wrapText="1"/>
    </xf>
    <xf numFmtId="9" fontId="115" fillId="0" borderId="10" xfId="1" applyNumberFormat="1" applyFont="1" applyBorder="1" applyAlignment="1">
      <alignment horizontal="center" vertical="center"/>
    </xf>
    <xf numFmtId="0" fontId="76" fillId="2" borderId="10" xfId="271" applyFont="1" applyFill="1" applyBorder="1" applyAlignment="1">
      <alignment horizontal="center"/>
    </xf>
    <xf numFmtId="0" fontId="10" fillId="0" borderId="10" xfId="271" applyFont="1" applyFill="1" applyBorder="1" applyAlignment="1">
      <alignment horizontal="center" vertical="center" wrapText="1"/>
    </xf>
    <xf numFmtId="1" fontId="174" fillId="0" borderId="3" xfId="271" applyNumberFormat="1" applyFont="1" applyFill="1" applyBorder="1" applyAlignment="1">
      <alignment horizontal="center" vertical="center"/>
    </xf>
    <xf numFmtId="1" fontId="174" fillId="0" borderId="9" xfId="271" applyNumberFormat="1" applyFont="1" applyFill="1" applyBorder="1" applyAlignment="1">
      <alignment horizontal="center" vertical="center"/>
    </xf>
    <xf numFmtId="0" fontId="172" fillId="2" borderId="10" xfId="271" applyFont="1" applyFill="1" applyBorder="1" applyAlignment="1">
      <alignment horizontal="center" vertical="center"/>
    </xf>
    <xf numFmtId="0" fontId="174" fillId="0" borderId="10" xfId="271" applyFont="1" applyFill="1" applyBorder="1" applyAlignment="1">
      <alignment horizontal="center" vertical="center"/>
    </xf>
    <xf numFmtId="1" fontId="174" fillId="0" borderId="3" xfId="370" applyNumberFormat="1" applyFont="1" applyFill="1" applyBorder="1" applyAlignment="1">
      <alignment horizontal="center" vertical="center"/>
    </xf>
    <xf numFmtId="1" fontId="174" fillId="0" borderId="9" xfId="370" applyNumberFormat="1" applyFont="1" applyFill="1" applyBorder="1" applyAlignment="1">
      <alignment horizontal="center" vertical="center"/>
    </xf>
    <xf numFmtId="1" fontId="174" fillId="57" borderId="3" xfId="271" applyNumberFormat="1" applyFont="1" applyFill="1" applyBorder="1" applyAlignment="1">
      <alignment horizontal="center" vertical="center"/>
    </xf>
    <xf numFmtId="1" fontId="174" fillId="57" borderId="9" xfId="271" applyNumberFormat="1" applyFont="1" applyFill="1" applyBorder="1" applyAlignment="1">
      <alignment horizontal="center" vertical="center"/>
    </xf>
    <xf numFmtId="1" fontId="174" fillId="57" borderId="3" xfId="370" applyNumberFormat="1" applyFont="1" applyFill="1" applyBorder="1" applyAlignment="1">
      <alignment horizontal="center" vertical="center"/>
    </xf>
    <xf numFmtId="1" fontId="174" fillId="57" borderId="9" xfId="370" applyNumberFormat="1" applyFont="1" applyFill="1" applyBorder="1" applyAlignment="1">
      <alignment horizontal="center" vertical="center"/>
    </xf>
    <xf numFmtId="0" fontId="174" fillId="0" borderId="10" xfId="271" applyFont="1" applyBorder="1" applyAlignment="1">
      <alignment horizontal="center" vertical="center"/>
    </xf>
    <xf numFmtId="0" fontId="174" fillId="0" borderId="10" xfId="271" applyFont="1" applyBorder="1" applyAlignment="1">
      <alignment horizontal="center" vertical="center" wrapText="1"/>
    </xf>
    <xf numFmtId="0" fontId="172" fillId="0" borderId="10" xfId="271" applyFont="1" applyBorder="1" applyAlignment="1">
      <alignment horizontal="center" vertical="top" wrapText="1"/>
    </xf>
    <xf numFmtId="0" fontId="174" fillId="0" borderId="3" xfId="271" applyFont="1" applyFill="1" applyBorder="1" applyAlignment="1">
      <alignment horizontal="left" vertical="center"/>
    </xf>
    <xf numFmtId="0" fontId="174" fillId="0" borderId="9" xfId="271" applyFont="1" applyFill="1" applyBorder="1" applyAlignment="1">
      <alignment horizontal="left" vertical="center"/>
    </xf>
    <xf numFmtId="1" fontId="174" fillId="0" borderId="10" xfId="271" applyNumberFormat="1" applyFont="1" applyFill="1" applyBorder="1" applyAlignment="1">
      <alignment horizontal="center" vertical="center"/>
    </xf>
    <xf numFmtId="0" fontId="173" fillId="0" borderId="3" xfId="271" applyFont="1" applyBorder="1" applyAlignment="1">
      <alignment horizontal="center" vertical="center"/>
    </xf>
    <xf numFmtId="0" fontId="173" fillId="0" borderId="9" xfId="271" applyFont="1" applyBorder="1" applyAlignment="1">
      <alignment horizontal="center" vertical="center"/>
    </xf>
    <xf numFmtId="0" fontId="174" fillId="0" borderId="3" xfId="271" applyFont="1" applyFill="1" applyBorder="1" applyAlignment="1">
      <alignment horizontal="left" vertical="center" wrapText="1"/>
    </xf>
    <xf numFmtId="0" fontId="174" fillId="0" borderId="9" xfId="271" applyFont="1" applyFill="1" applyBorder="1" applyAlignment="1">
      <alignment horizontal="left" vertical="center" wrapText="1"/>
    </xf>
    <xf numFmtId="0" fontId="174" fillId="0" borderId="3" xfId="271" applyFont="1" applyFill="1" applyBorder="1" applyAlignment="1">
      <alignment horizontal="center" vertical="center"/>
    </xf>
    <xf numFmtId="0" fontId="174" fillId="0" borderId="9" xfId="271" applyFont="1" applyFill="1" applyBorder="1" applyAlignment="1">
      <alignment horizontal="center" vertical="center"/>
    </xf>
    <xf numFmtId="2" fontId="174" fillId="0" borderId="3" xfId="271" applyNumberFormat="1" applyFont="1" applyFill="1" applyBorder="1" applyAlignment="1">
      <alignment horizontal="center" vertical="center"/>
    </xf>
    <xf numFmtId="2" fontId="174" fillId="0" borderId="9" xfId="271" applyNumberFormat="1" applyFont="1" applyFill="1" applyBorder="1" applyAlignment="1">
      <alignment horizontal="center" vertical="center"/>
    </xf>
    <xf numFmtId="1" fontId="174" fillId="0" borderId="10" xfId="370" applyNumberFormat="1" applyFont="1" applyFill="1" applyBorder="1" applyAlignment="1">
      <alignment horizontal="center" vertical="center"/>
    </xf>
    <xf numFmtId="1" fontId="175" fillId="0" borderId="10" xfId="271" applyNumberFormat="1" applyFont="1" applyFill="1" applyBorder="1" applyAlignment="1">
      <alignment horizontal="center" vertical="center" wrapText="1"/>
    </xf>
    <xf numFmtId="0" fontId="174" fillId="0" borderId="3" xfId="271" applyFont="1" applyBorder="1" applyAlignment="1">
      <alignment horizontal="left" vertical="center" wrapText="1"/>
    </xf>
    <xf numFmtId="0" fontId="174" fillId="0" borderId="9" xfId="271" applyFont="1" applyBorder="1" applyAlignment="1">
      <alignment horizontal="left" vertical="center" wrapText="1"/>
    </xf>
    <xf numFmtId="0" fontId="173" fillId="0" borderId="10" xfId="271" applyFont="1" applyBorder="1" applyAlignment="1">
      <alignment horizontal="center" vertical="center"/>
    </xf>
    <xf numFmtId="2" fontId="174" fillId="0" borderId="10" xfId="271" applyNumberFormat="1" applyFont="1" applyBorder="1" applyAlignment="1">
      <alignment horizontal="center" vertical="center"/>
    </xf>
    <xf numFmtId="1" fontId="242" fillId="0" borderId="10" xfId="271" applyNumberFormat="1" applyFont="1" applyFill="1" applyBorder="1" applyAlignment="1" applyProtection="1">
      <alignment horizontal="center" vertical="center"/>
    </xf>
    <xf numFmtId="1" fontId="242" fillId="0" borderId="3" xfId="271" applyNumberFormat="1" applyFont="1" applyFill="1" applyBorder="1" applyAlignment="1" applyProtection="1">
      <alignment horizontal="center" vertical="center"/>
    </xf>
    <xf numFmtId="1" fontId="242" fillId="0" borderId="7" xfId="271" applyNumberFormat="1" applyFont="1" applyFill="1" applyBorder="1" applyAlignment="1" applyProtection="1">
      <alignment horizontal="center" vertical="center"/>
    </xf>
    <xf numFmtId="0" fontId="174" fillId="0" borderId="3" xfId="370" applyFont="1" applyBorder="1" applyAlignment="1">
      <alignment horizontal="center" vertical="center"/>
    </xf>
    <xf numFmtId="0" fontId="174" fillId="0" borderId="9" xfId="370" applyFont="1" applyBorder="1" applyAlignment="1">
      <alignment horizontal="center" vertical="center"/>
    </xf>
    <xf numFmtId="0" fontId="181" fillId="4" borderId="2" xfId="1" applyFont="1" applyFill="1" applyBorder="1" applyAlignment="1">
      <alignment horizontal="center" vertical="center" wrapText="1"/>
    </xf>
    <xf numFmtId="0" fontId="181" fillId="4" borderId="5" xfId="1" applyFont="1" applyFill="1" applyBorder="1" applyAlignment="1">
      <alignment horizontal="center" vertical="center" wrapText="1"/>
    </xf>
    <xf numFmtId="0" fontId="181" fillId="4" borderId="2" xfId="271" applyFont="1" applyFill="1" applyBorder="1" applyAlignment="1">
      <alignment horizontal="center" vertical="center"/>
    </xf>
    <xf numFmtId="0" fontId="181" fillId="4" borderId="5" xfId="271" applyFont="1" applyFill="1" applyBorder="1" applyAlignment="1">
      <alignment horizontal="center" vertical="center"/>
    </xf>
    <xf numFmtId="9" fontId="126" fillId="0" borderId="2" xfId="1" applyNumberFormat="1" applyFont="1" applyFill="1" applyBorder="1" applyAlignment="1">
      <alignment horizontal="center" vertical="center"/>
    </xf>
    <xf numFmtId="9" fontId="126" fillId="0" borderId="5" xfId="1" applyNumberFormat="1" applyFont="1" applyFill="1" applyBorder="1" applyAlignment="1">
      <alignment horizontal="center" vertical="center"/>
    </xf>
    <xf numFmtId="9" fontId="126" fillId="0" borderId="10" xfId="1" applyNumberFormat="1" applyFont="1" applyBorder="1" applyAlignment="1">
      <alignment horizontal="center" vertical="center"/>
    </xf>
    <xf numFmtId="9" fontId="126" fillId="0" borderId="2" xfId="1" applyNumberFormat="1" applyFont="1" applyBorder="1" applyAlignment="1">
      <alignment horizontal="center" vertical="center"/>
    </xf>
    <xf numFmtId="9" fontId="126" fillId="0" borderId="5" xfId="1" applyNumberFormat="1" applyFont="1" applyBorder="1" applyAlignment="1">
      <alignment horizontal="center" vertical="center"/>
    </xf>
    <xf numFmtId="175" fontId="126" fillId="0" borderId="3" xfId="271" applyNumberFormat="1" applyFont="1" applyFill="1" applyBorder="1" applyAlignment="1">
      <alignment horizontal="center" vertical="center"/>
    </xf>
    <xf numFmtId="175" fontId="126" fillId="0" borderId="7" xfId="271" applyNumberFormat="1" applyFont="1" applyFill="1" applyBorder="1" applyAlignment="1">
      <alignment horizontal="center" vertical="center"/>
    </xf>
    <xf numFmtId="175" fontId="126" fillId="0" borderId="9" xfId="271" applyNumberFormat="1" applyFont="1" applyFill="1" applyBorder="1" applyAlignment="1">
      <alignment horizontal="center" vertical="center"/>
    </xf>
    <xf numFmtId="2" fontId="126" fillId="0" borderId="3" xfId="271" applyNumberFormat="1" applyFont="1" applyFill="1" applyBorder="1" applyAlignment="1">
      <alignment horizontal="center" vertical="center"/>
    </xf>
    <xf numFmtId="2" fontId="126" fillId="0" borderId="7" xfId="271" applyNumberFormat="1" applyFont="1" applyFill="1" applyBorder="1" applyAlignment="1">
      <alignment horizontal="center" vertical="center"/>
    </xf>
    <xf numFmtId="2" fontId="126" fillId="0" borderId="9" xfId="271" applyNumberFormat="1" applyFont="1" applyFill="1" applyBorder="1" applyAlignment="1">
      <alignment horizontal="center" vertical="center"/>
    </xf>
    <xf numFmtId="1" fontId="126" fillId="0" borderId="8" xfId="271" applyNumberFormat="1" applyFont="1" applyFill="1" applyBorder="1" applyAlignment="1">
      <alignment horizontal="center" vertical="center"/>
    </xf>
    <xf numFmtId="1" fontId="126" fillId="0" borderId="11" xfId="271" applyNumberFormat="1" applyFont="1" applyFill="1" applyBorder="1" applyAlignment="1">
      <alignment horizontal="center" vertical="center"/>
    </xf>
    <xf numFmtId="1" fontId="126" fillId="0" borderId="6" xfId="271" applyNumberFormat="1" applyFont="1" applyFill="1" applyBorder="1" applyAlignment="1">
      <alignment horizontal="center" vertical="center"/>
    </xf>
    <xf numFmtId="1" fontId="126" fillId="0" borderId="14" xfId="271" applyNumberFormat="1" applyFont="1" applyFill="1" applyBorder="1" applyAlignment="1">
      <alignment horizontal="center" vertical="center"/>
    </xf>
    <xf numFmtId="1" fontId="126" fillId="0" borderId="15" xfId="271" applyNumberFormat="1" applyFont="1" applyFill="1" applyBorder="1" applyAlignment="1">
      <alignment horizontal="center" vertical="center"/>
    </xf>
    <xf numFmtId="1" fontId="126" fillId="0" borderId="16" xfId="271" applyNumberFormat="1" applyFont="1" applyFill="1" applyBorder="1" applyAlignment="1">
      <alignment horizontal="center" vertical="center"/>
    </xf>
    <xf numFmtId="0" fontId="179" fillId="0" borderId="0" xfId="372" applyFont="1" applyAlignment="1">
      <alignment horizontal="left" vertical="center" wrapText="1"/>
    </xf>
    <xf numFmtId="0" fontId="252" fillId="0" borderId="0" xfId="1" applyFont="1" applyAlignment="1">
      <alignment horizontal="left" vertical="center" wrapText="1"/>
    </xf>
    <xf numFmtId="0" fontId="174" fillId="0" borderId="2" xfId="366" applyFont="1" applyFill="1" applyBorder="1" applyAlignment="1">
      <alignment horizontal="center" vertical="center" wrapText="1"/>
    </xf>
    <xf numFmtId="0" fontId="174" fillId="0" borderId="4" xfId="366" applyFont="1" applyFill="1" applyBorder="1" applyAlignment="1">
      <alignment horizontal="center" vertical="center" wrapText="1"/>
    </xf>
    <xf numFmtId="0" fontId="174" fillId="0" borderId="5" xfId="366" applyFont="1" applyFill="1" applyBorder="1" applyAlignment="1">
      <alignment horizontal="center" vertical="center" wrapText="1"/>
    </xf>
    <xf numFmtId="1" fontId="174" fillId="0" borderId="2" xfId="271" applyNumberFormat="1" applyFont="1" applyFill="1" applyBorder="1" applyAlignment="1">
      <alignment horizontal="center" vertical="center"/>
    </xf>
    <xf numFmtId="1" fontId="174" fillId="0" borderId="5" xfId="271" applyNumberFormat="1" applyFont="1" applyFill="1" applyBorder="1" applyAlignment="1">
      <alignment horizontal="center" vertical="center"/>
    </xf>
    <xf numFmtId="0" fontId="174" fillId="0" borderId="2" xfId="271" applyFont="1" applyFill="1" applyBorder="1" applyAlignment="1">
      <alignment horizontal="center" vertical="center"/>
    </xf>
    <xf numFmtId="0" fontId="174" fillId="0" borderId="4" xfId="271" applyFont="1" applyFill="1" applyBorder="1" applyAlignment="1">
      <alignment horizontal="center" vertical="center"/>
    </xf>
    <xf numFmtId="0" fontId="174" fillId="0" borderId="5" xfId="271" applyFont="1" applyFill="1" applyBorder="1" applyAlignment="1">
      <alignment horizontal="center" vertical="center"/>
    </xf>
    <xf numFmtId="0" fontId="180" fillId="4" borderId="10" xfId="1" applyFont="1" applyFill="1" applyBorder="1" applyAlignment="1">
      <alignment horizontal="center" vertical="center"/>
    </xf>
    <xf numFmtId="0" fontId="181" fillId="4" borderId="10" xfId="1" applyFont="1" applyFill="1" applyBorder="1" applyAlignment="1">
      <alignment horizontal="center" vertical="center" wrapText="1"/>
    </xf>
    <xf numFmtId="0" fontId="174" fillId="0" borderId="10" xfId="271" applyFont="1" applyBorder="1" applyAlignment="1">
      <alignment horizontal="left" vertical="center" wrapText="1"/>
    </xf>
    <xf numFmtId="0" fontId="175" fillId="0" borderId="3" xfId="271" applyFont="1" applyFill="1" applyBorder="1" applyAlignment="1">
      <alignment horizontal="left" vertical="center" wrapText="1"/>
    </xf>
    <xf numFmtId="0" fontId="175" fillId="0" borderId="9" xfId="271" applyFont="1" applyFill="1" applyBorder="1" applyAlignment="1">
      <alignment horizontal="left" vertical="center" wrapText="1"/>
    </xf>
    <xf numFmtId="0" fontId="179" fillId="0" borderId="12" xfId="271" applyFont="1" applyFill="1" applyBorder="1" applyAlignment="1">
      <alignment horizontal="left" vertical="center" wrapText="1"/>
    </xf>
    <xf numFmtId="2" fontId="172" fillId="0" borderId="3" xfId="271" applyNumberFormat="1" applyFont="1" applyFill="1" applyBorder="1" applyAlignment="1">
      <alignment horizontal="center" vertical="center" wrapText="1"/>
    </xf>
    <xf numFmtId="2" fontId="172" fillId="0" borderId="9" xfId="271" applyNumberFormat="1" applyFont="1" applyFill="1" applyBorder="1" applyAlignment="1">
      <alignment horizontal="center" vertical="center" wrapText="1"/>
    </xf>
    <xf numFmtId="0" fontId="174" fillId="0" borderId="8" xfId="271" applyFont="1" applyFill="1" applyBorder="1" applyAlignment="1">
      <alignment horizontal="center" vertical="center" wrapText="1"/>
    </xf>
    <xf numFmtId="0" fontId="174" fillId="0" borderId="12" xfId="271" applyFont="1" applyFill="1" applyBorder="1" applyAlignment="1">
      <alignment horizontal="center" vertical="center" wrapText="1"/>
    </xf>
    <xf numFmtId="0" fontId="174" fillId="0" borderId="11" xfId="271" applyFont="1" applyFill="1" applyBorder="1" applyAlignment="1">
      <alignment horizontal="center" vertical="center" wrapText="1"/>
    </xf>
    <xf numFmtId="0" fontId="174" fillId="0" borderId="15" xfId="271" applyFont="1" applyFill="1" applyBorder="1" applyAlignment="1">
      <alignment horizontal="center" vertical="center" wrapText="1"/>
    </xf>
    <xf numFmtId="0" fontId="174" fillId="0" borderId="1" xfId="271" applyFont="1" applyFill="1" applyBorder="1" applyAlignment="1">
      <alignment horizontal="center" vertical="center" wrapText="1"/>
    </xf>
    <xf numFmtId="0" fontId="174" fillId="0" borderId="16" xfId="271" applyFont="1" applyFill="1" applyBorder="1" applyAlignment="1">
      <alignment horizontal="center" vertical="center" wrapText="1"/>
    </xf>
    <xf numFmtId="1" fontId="174" fillId="0" borderId="8" xfId="271" applyNumberFormat="1" applyFont="1" applyFill="1" applyBorder="1" applyAlignment="1">
      <alignment horizontal="center" vertical="center"/>
    </xf>
    <xf numFmtId="1" fontId="174" fillId="0" borderId="11" xfId="271" applyNumberFormat="1" applyFont="1" applyFill="1" applyBorder="1" applyAlignment="1">
      <alignment horizontal="center" vertical="center"/>
    </xf>
    <xf numFmtId="1" fontId="174" fillId="0" borderId="15" xfId="271" applyNumberFormat="1" applyFont="1" applyFill="1" applyBorder="1" applyAlignment="1">
      <alignment horizontal="center" vertical="center"/>
    </xf>
    <xf numFmtId="1" fontId="174" fillId="0" borderId="16" xfId="271" applyNumberFormat="1" applyFont="1" applyFill="1" applyBorder="1" applyAlignment="1">
      <alignment horizontal="center" vertical="center"/>
    </xf>
    <xf numFmtId="2" fontId="174" fillId="0" borderId="2" xfId="271" applyNumberFormat="1" applyFont="1" applyFill="1" applyBorder="1" applyAlignment="1">
      <alignment horizontal="center" vertical="center" wrapText="1"/>
    </xf>
    <xf numFmtId="2" fontId="174" fillId="0" borderId="4" xfId="271" applyNumberFormat="1" applyFont="1" applyFill="1" applyBorder="1" applyAlignment="1">
      <alignment horizontal="center" vertical="center" wrapText="1"/>
    </xf>
    <xf numFmtId="2" fontId="174" fillId="0" borderId="5" xfId="271" applyNumberFormat="1" applyFont="1" applyFill="1" applyBorder="1" applyAlignment="1">
      <alignment horizontal="center" vertical="center" wrapText="1"/>
    </xf>
    <xf numFmtId="0" fontId="178" fillId="2" borderId="2" xfId="271" applyFont="1" applyFill="1" applyBorder="1" applyAlignment="1">
      <alignment horizontal="center" vertical="center"/>
    </xf>
    <xf numFmtId="0" fontId="178" fillId="2" borderId="4" xfId="271" applyFont="1" applyFill="1" applyBorder="1" applyAlignment="1">
      <alignment horizontal="center" vertical="center"/>
    </xf>
    <xf numFmtId="0" fontId="178" fillId="2" borderId="5" xfId="271" applyFont="1" applyFill="1" applyBorder="1" applyAlignment="1">
      <alignment horizontal="center" vertical="center"/>
    </xf>
    <xf numFmtId="0" fontId="178" fillId="2" borderId="2" xfId="271" applyFont="1" applyFill="1" applyBorder="1" applyAlignment="1" applyProtection="1">
      <alignment horizontal="center" vertical="center" wrapText="1"/>
      <protection locked="0"/>
    </xf>
    <xf numFmtId="0" fontId="178" fillId="2" borderId="5" xfId="271" applyFont="1" applyFill="1" applyBorder="1" applyAlignment="1" applyProtection="1">
      <alignment horizontal="center" vertical="center" wrapText="1"/>
      <protection locked="0"/>
    </xf>
    <xf numFmtId="0" fontId="174" fillId="0" borderId="3" xfId="372" applyFont="1" applyBorder="1" applyAlignment="1">
      <alignment horizontal="left" vertical="center"/>
    </xf>
    <xf numFmtId="0" fontId="174" fillId="0" borderId="9" xfId="372" applyFont="1" applyBorder="1" applyAlignment="1">
      <alignment horizontal="left" vertical="center"/>
    </xf>
    <xf numFmtId="0" fontId="173" fillId="0" borderId="10" xfId="271" applyFont="1" applyFill="1" applyBorder="1" applyAlignment="1">
      <alignment horizontal="center" vertical="center"/>
    </xf>
    <xf numFmtId="175" fontId="126" fillId="0" borderId="10" xfId="271" applyNumberFormat="1" applyFont="1" applyFill="1" applyBorder="1" applyAlignment="1">
      <alignment horizontal="center" vertical="center"/>
    </xf>
    <xf numFmtId="2" fontId="126" fillId="0" borderId="8" xfId="271" applyNumberFormat="1" applyFont="1" applyFill="1" applyBorder="1" applyAlignment="1">
      <alignment horizontal="center" vertical="center"/>
    </xf>
    <xf numFmtId="2" fontId="126" fillId="0" borderId="6" xfId="271" applyNumberFormat="1" applyFont="1" applyFill="1" applyBorder="1" applyAlignment="1">
      <alignment horizontal="center" vertical="center"/>
    </xf>
    <xf numFmtId="2" fontId="126" fillId="0" borderId="15" xfId="271" applyNumberFormat="1" applyFont="1" applyFill="1" applyBorder="1" applyAlignment="1">
      <alignment horizontal="center" vertical="center"/>
    </xf>
    <xf numFmtId="0" fontId="177" fillId="0" borderId="9" xfId="271" applyFont="1" applyBorder="1"/>
    <xf numFmtId="0" fontId="105" fillId="0" borderId="0" xfId="372" applyFont="1" applyBorder="1" applyAlignment="1">
      <alignment horizontal="left" vertical="center" wrapText="1"/>
    </xf>
    <xf numFmtId="0" fontId="174" fillId="0" borderId="3" xfId="271" applyFont="1" applyBorder="1" applyAlignment="1">
      <alignment horizontal="center" vertical="center"/>
    </xf>
    <xf numFmtId="0" fontId="174" fillId="0" borderId="9" xfId="271" applyFont="1" applyBorder="1" applyAlignment="1">
      <alignment horizontal="center" vertical="center"/>
    </xf>
    <xf numFmtId="2" fontId="174" fillId="0" borderId="3" xfId="271" applyNumberFormat="1" applyFont="1" applyBorder="1" applyAlignment="1">
      <alignment horizontal="center" vertical="center"/>
    </xf>
    <xf numFmtId="2" fontId="174" fillId="0" borderId="9" xfId="271" applyNumberFormat="1" applyFont="1" applyBorder="1" applyAlignment="1">
      <alignment horizontal="center" vertical="center"/>
    </xf>
    <xf numFmtId="0" fontId="173" fillId="0" borderId="3" xfId="271" applyFont="1" applyFill="1" applyBorder="1" applyAlignment="1">
      <alignment horizontal="center" vertical="center" wrapText="1"/>
    </xf>
    <xf numFmtId="0" fontId="173" fillId="0" borderId="7" xfId="271" applyFont="1" applyFill="1" applyBorder="1" applyAlignment="1">
      <alignment horizontal="center" vertical="center" wrapText="1"/>
    </xf>
    <xf numFmtId="0" fontId="173" fillId="0" borderId="9" xfId="271" applyFont="1" applyFill="1" applyBorder="1" applyAlignment="1">
      <alignment horizontal="center" vertical="center" wrapText="1"/>
    </xf>
    <xf numFmtId="0" fontId="174" fillId="0" borderId="10" xfId="372" applyFont="1" applyBorder="1" applyAlignment="1">
      <alignment horizontal="left" vertical="center"/>
    </xf>
    <xf numFmtId="0" fontId="174" fillId="0" borderId="3" xfId="271" applyFont="1" applyBorder="1" applyAlignment="1">
      <alignment horizontal="left" vertical="center"/>
    </xf>
    <xf numFmtId="0" fontId="174" fillId="0" borderId="9" xfId="271" applyFont="1" applyBorder="1" applyAlignment="1">
      <alignment horizontal="left" vertical="center"/>
    </xf>
    <xf numFmtId="0" fontId="0" fillId="0" borderId="9" xfId="0" applyBorder="1"/>
    <xf numFmtId="1" fontId="242" fillId="0" borderId="9" xfId="271" applyNumberFormat="1" applyFont="1" applyFill="1" applyBorder="1" applyAlignment="1" applyProtection="1">
      <alignment horizontal="center" vertical="center"/>
    </xf>
    <xf numFmtId="0" fontId="174" fillId="0" borderId="3" xfId="271" applyFont="1" applyFill="1" applyBorder="1" applyAlignment="1">
      <alignment vertical="center"/>
    </xf>
    <xf numFmtId="0" fontId="174" fillId="0" borderId="9" xfId="271" applyFont="1" applyFill="1" applyBorder="1" applyAlignment="1">
      <alignment vertical="center"/>
    </xf>
    <xf numFmtId="1" fontId="175" fillId="0" borderId="3" xfId="271" applyNumberFormat="1" applyFont="1" applyFill="1" applyBorder="1" applyAlignment="1">
      <alignment horizontal="center" vertical="center" wrapText="1"/>
    </xf>
    <xf numFmtId="1" fontId="175" fillId="0" borderId="7" xfId="271" applyNumberFormat="1" applyFont="1" applyFill="1" applyBorder="1" applyAlignment="1">
      <alignment horizontal="center" vertical="center" wrapText="1"/>
    </xf>
    <xf numFmtId="0" fontId="174" fillId="0" borderId="3" xfId="271" applyFont="1" applyFill="1" applyBorder="1" applyAlignment="1">
      <alignment horizontal="center" vertical="center" wrapText="1"/>
    </xf>
    <xf numFmtId="0" fontId="174" fillId="0" borderId="7" xfId="271" applyFont="1" applyFill="1" applyBorder="1" applyAlignment="1">
      <alignment horizontal="center" vertical="center" wrapText="1"/>
    </xf>
    <xf numFmtId="1" fontId="126" fillId="0" borderId="3" xfId="271" applyNumberFormat="1" applyFont="1" applyFill="1" applyBorder="1" applyAlignment="1">
      <alignment horizontal="center" vertical="center"/>
    </xf>
    <xf numFmtId="1" fontId="126" fillId="0" borderId="7" xfId="271" applyNumberFormat="1" applyFont="1" applyFill="1" applyBorder="1" applyAlignment="1">
      <alignment horizontal="center" vertical="center"/>
    </xf>
    <xf numFmtId="1" fontId="242" fillId="0" borderId="10" xfId="373" applyNumberFormat="1" applyFont="1" applyFill="1" applyBorder="1" applyAlignment="1" applyProtection="1">
      <alignment horizontal="center" vertical="center"/>
    </xf>
    <xf numFmtId="0" fontId="174" fillId="0" borderId="10" xfId="271" applyFont="1" applyFill="1" applyBorder="1" applyAlignment="1">
      <alignment horizontal="center" vertical="center" wrapText="1"/>
    </xf>
    <xf numFmtId="1" fontId="174" fillId="57" borderId="10" xfId="271" applyNumberFormat="1" applyFont="1" applyFill="1" applyBorder="1" applyAlignment="1">
      <alignment horizontal="center" vertical="center"/>
    </xf>
    <xf numFmtId="0" fontId="179" fillId="0" borderId="0" xfId="372" applyFont="1" applyBorder="1" applyAlignment="1">
      <alignment horizontal="left" vertical="top" wrapText="1"/>
    </xf>
    <xf numFmtId="3" fontId="171" fillId="0" borderId="0" xfId="372" applyNumberFormat="1" applyFont="1" applyBorder="1" applyAlignment="1">
      <alignment horizontal="center" wrapText="1"/>
    </xf>
    <xf numFmtId="1" fontId="96" fillId="0" borderId="1" xfId="362" applyNumberFormat="1" applyFont="1" applyFill="1" applyBorder="1" applyAlignment="1" applyProtection="1">
      <alignment horizontal="right" vertical="center" wrapText="1"/>
    </xf>
    <xf numFmtId="0" fontId="172" fillId="2" borderId="7" xfId="271" applyFont="1" applyFill="1" applyBorder="1" applyAlignment="1">
      <alignment horizontal="center" vertical="center"/>
    </xf>
    <xf numFmtId="0" fontId="172" fillId="2" borderId="9" xfId="271" applyFont="1" applyFill="1" applyBorder="1" applyAlignment="1">
      <alignment horizontal="center" vertical="center"/>
    </xf>
    <xf numFmtId="0" fontId="172" fillId="2" borderId="3" xfId="271" applyFont="1" applyFill="1" applyBorder="1" applyAlignment="1">
      <alignment horizontal="center" vertical="center"/>
    </xf>
    <xf numFmtId="0" fontId="172" fillId="2" borderId="8" xfId="271" applyFont="1" applyFill="1" applyBorder="1" applyAlignment="1">
      <alignment horizontal="center" vertical="center" wrapText="1"/>
    </xf>
    <xf numFmtId="0" fontId="172" fillId="2" borderId="11" xfId="271" applyFont="1" applyFill="1" applyBorder="1" applyAlignment="1">
      <alignment horizontal="center" vertical="center" wrapText="1"/>
    </xf>
    <xf numFmtId="0" fontId="172" fillId="2" borderId="15" xfId="271" applyFont="1" applyFill="1" applyBorder="1" applyAlignment="1">
      <alignment horizontal="center" vertical="center" wrapText="1"/>
    </xf>
    <xf numFmtId="0" fontId="172" fillId="2" borderId="16" xfId="271" applyFont="1" applyFill="1" applyBorder="1" applyAlignment="1">
      <alignment horizontal="center" vertical="center" wrapText="1"/>
    </xf>
    <xf numFmtId="0" fontId="172" fillId="2" borderId="10" xfId="271" applyFont="1" applyFill="1" applyBorder="1" applyAlignment="1" applyProtection="1">
      <alignment horizontal="center" vertical="center"/>
      <protection locked="0"/>
    </xf>
    <xf numFmtId="0" fontId="172" fillId="2" borderId="3" xfId="271" applyFont="1" applyFill="1" applyBorder="1" applyAlignment="1">
      <alignment horizontal="center" vertical="center" wrapText="1"/>
    </xf>
    <xf numFmtId="0" fontId="172" fillId="2" borderId="9" xfId="271" applyFont="1" applyFill="1" applyBorder="1" applyAlignment="1">
      <alignment horizontal="center" vertical="center" wrapText="1"/>
    </xf>
    <xf numFmtId="0" fontId="174" fillId="0" borderId="9" xfId="271" applyFont="1" applyFill="1" applyBorder="1" applyAlignment="1">
      <alignment horizontal="center" vertical="center" wrapText="1"/>
    </xf>
    <xf numFmtId="1" fontId="175" fillId="0" borderId="9" xfId="271" applyNumberFormat="1" applyFont="1" applyFill="1" applyBorder="1" applyAlignment="1">
      <alignment horizontal="center" vertical="center" wrapText="1"/>
    </xf>
    <xf numFmtId="0" fontId="31" fillId="0" borderId="0" xfId="370" applyFont="1" applyBorder="1" applyAlignment="1">
      <alignment horizontal="center"/>
    </xf>
    <xf numFmtId="0" fontId="31" fillId="0" borderId="90" xfId="370" applyFont="1" applyBorder="1" applyAlignment="1">
      <alignment horizontal="center"/>
    </xf>
    <xf numFmtId="0" fontId="10" fillId="0" borderId="10" xfId="370" applyFont="1" applyBorder="1" applyAlignment="1">
      <alignment horizontal="center"/>
    </xf>
    <xf numFmtId="3" fontId="10" fillId="0" borderId="3" xfId="370" applyNumberFormat="1" applyFont="1" applyFill="1" applyBorder="1" applyAlignment="1">
      <alignment vertical="center"/>
    </xf>
    <xf numFmtId="3" fontId="10" fillId="0" borderId="7" xfId="370" applyNumberFormat="1" applyFont="1" applyFill="1" applyBorder="1" applyAlignment="1">
      <alignment vertical="center"/>
    </xf>
    <xf numFmtId="3" fontId="10" fillId="0" borderId="9" xfId="370" applyNumberFormat="1" applyFont="1" applyFill="1" applyBorder="1" applyAlignment="1">
      <alignment vertical="center"/>
    </xf>
    <xf numFmtId="3" fontId="10" fillId="0" borderId="3" xfId="370" applyNumberFormat="1" applyFont="1" applyFill="1" applyBorder="1" applyAlignment="1">
      <alignment horizontal="center" vertical="center"/>
    </xf>
    <xf numFmtId="3" fontId="10" fillId="0" borderId="7" xfId="370" applyNumberFormat="1" applyFont="1" applyFill="1" applyBorder="1" applyAlignment="1">
      <alignment horizontal="center" vertical="center"/>
    </xf>
    <xf numFmtId="3" fontId="10" fillId="0" borderId="9" xfId="370" applyNumberFormat="1" applyFont="1" applyFill="1" applyBorder="1" applyAlignment="1">
      <alignment horizontal="center" vertical="center"/>
    </xf>
    <xf numFmtId="1" fontId="109" fillId="4" borderId="10" xfId="371" applyNumberFormat="1" applyFont="1" applyFill="1" applyBorder="1" applyAlignment="1">
      <alignment horizontal="center" vertical="center" wrapText="1"/>
    </xf>
    <xf numFmtId="14" fontId="7" fillId="4" borderId="2" xfId="370" applyNumberFormat="1" applyFont="1" applyFill="1" applyBorder="1" applyAlignment="1">
      <alignment horizontal="center" vertical="center" wrapText="1"/>
    </xf>
    <xf numFmtId="14" fontId="7" fillId="4" borderId="4" xfId="370" applyNumberFormat="1" applyFont="1" applyFill="1" applyBorder="1" applyAlignment="1">
      <alignment horizontal="center" vertical="center" wrapText="1"/>
    </xf>
    <xf numFmtId="9" fontId="10" fillId="0" borderId="2" xfId="370" applyNumberFormat="1" applyFont="1" applyFill="1" applyBorder="1" applyAlignment="1">
      <alignment horizontal="center" vertical="center"/>
    </xf>
    <xf numFmtId="9" fontId="10" fillId="0" borderId="4" xfId="370" applyNumberFormat="1" applyFont="1" applyFill="1" applyBorder="1" applyAlignment="1">
      <alignment horizontal="center" vertical="center"/>
    </xf>
    <xf numFmtId="1" fontId="9" fillId="2" borderId="4" xfId="372" applyNumberFormat="1" applyFont="1" applyFill="1" applyBorder="1" applyAlignment="1">
      <alignment horizontal="center" vertical="center"/>
    </xf>
    <xf numFmtId="1" fontId="9" fillId="2" borderId="5" xfId="372" applyNumberFormat="1" applyFont="1" applyFill="1" applyBorder="1" applyAlignment="1">
      <alignment horizontal="center" vertical="center"/>
    </xf>
    <xf numFmtId="3" fontId="10" fillId="0" borderId="3" xfId="2" applyNumberFormat="1" applyFont="1" applyFill="1" applyBorder="1" applyAlignment="1">
      <alignment horizontal="center" vertical="center"/>
    </xf>
    <xf numFmtId="3" fontId="10" fillId="0" borderId="7" xfId="2" applyNumberFormat="1" applyFont="1" applyFill="1" applyBorder="1" applyAlignment="1">
      <alignment horizontal="center" vertical="center"/>
    </xf>
    <xf numFmtId="3" fontId="10" fillId="0" borderId="9" xfId="2" applyNumberFormat="1" applyFont="1" applyFill="1" applyBorder="1" applyAlignment="1">
      <alignment horizontal="center" vertical="center"/>
    </xf>
    <xf numFmtId="0" fontId="127" fillId="0" borderId="10" xfId="370" applyFont="1" applyBorder="1" applyAlignment="1">
      <alignment horizontal="center"/>
    </xf>
    <xf numFmtId="1" fontId="9" fillId="2" borderId="0" xfId="372" applyNumberFormat="1" applyFont="1" applyFill="1" applyBorder="1" applyAlignment="1">
      <alignment horizontal="center"/>
    </xf>
    <xf numFmtId="1" fontId="9" fillId="2" borderId="14" xfId="372" applyNumberFormat="1" applyFont="1" applyFill="1" applyBorder="1" applyAlignment="1">
      <alignment horizontal="center"/>
    </xf>
    <xf numFmtId="0" fontId="9" fillId="2" borderId="10" xfId="372" applyFont="1" applyFill="1" applyBorder="1" applyAlignment="1">
      <alignment horizontal="center" wrapText="1"/>
    </xf>
    <xf numFmtId="3" fontId="10" fillId="0" borderId="3" xfId="2" applyNumberFormat="1" applyFont="1" applyFill="1" applyBorder="1" applyAlignment="1">
      <alignment horizontal="center" vertical="center" wrapText="1"/>
    </xf>
    <xf numFmtId="3" fontId="10" fillId="0" borderId="7" xfId="2" applyNumberFormat="1" applyFont="1" applyFill="1" applyBorder="1" applyAlignment="1">
      <alignment horizontal="center" vertical="center" wrapText="1"/>
    </xf>
    <xf numFmtId="3" fontId="10" fillId="0" borderId="9" xfId="2" applyNumberFormat="1" applyFont="1" applyFill="1" applyBorder="1" applyAlignment="1">
      <alignment horizontal="center" vertical="center" wrapText="1"/>
    </xf>
    <xf numFmtId="1" fontId="10" fillId="0" borderId="4" xfId="371" applyNumberFormat="1" applyFont="1" applyFill="1" applyBorder="1" applyAlignment="1">
      <alignment horizontal="right"/>
    </xf>
    <xf numFmtId="1" fontId="10" fillId="0" borderId="1" xfId="371" applyNumberFormat="1" applyFont="1" applyFill="1" applyBorder="1" applyAlignment="1">
      <alignment horizontal="right"/>
    </xf>
    <xf numFmtId="0" fontId="9" fillId="2" borderId="10" xfId="372" applyFont="1" applyFill="1" applyBorder="1" applyAlignment="1">
      <alignment horizontal="center" vertical="center" wrapText="1"/>
    </xf>
    <xf numFmtId="0" fontId="9" fillId="0" borderId="10" xfId="372" applyFont="1" applyFill="1" applyBorder="1" applyAlignment="1">
      <alignment horizontal="center" vertical="top" wrapText="1"/>
    </xf>
    <xf numFmtId="0" fontId="10" fillId="0" borderId="3" xfId="372" applyFont="1" applyFill="1" applyBorder="1" applyAlignment="1">
      <alignment horizontal="left" vertical="center" wrapText="1"/>
    </xf>
    <xf numFmtId="0" fontId="10" fillId="0" borderId="9" xfId="372" applyFont="1" applyFill="1" applyBorder="1" applyAlignment="1">
      <alignment horizontal="left" vertical="center" wrapText="1"/>
    </xf>
    <xf numFmtId="0" fontId="10" fillId="0" borderId="3" xfId="372" applyFont="1" applyFill="1" applyBorder="1" applyAlignment="1">
      <alignment horizontal="center" vertical="center" wrapText="1"/>
    </xf>
    <xf numFmtId="0" fontId="10" fillId="0" borderId="9" xfId="372" applyFont="1" applyFill="1" applyBorder="1" applyAlignment="1">
      <alignment horizontal="center" vertical="center" wrapText="1"/>
    </xf>
    <xf numFmtId="0" fontId="61" fillId="0" borderId="0" xfId="2" applyFont="1" applyBorder="1" applyAlignment="1">
      <alignment horizontal="center"/>
    </xf>
    <xf numFmtId="0" fontId="61" fillId="0" borderId="90" xfId="2" applyFont="1" applyBorder="1" applyAlignment="1">
      <alignment horizontal="center"/>
    </xf>
    <xf numFmtId="0" fontId="64" fillId="4" borderId="8" xfId="1" applyFont="1" applyFill="1" applyBorder="1" applyAlignment="1">
      <alignment horizontal="center" vertical="center"/>
    </xf>
    <xf numFmtId="0" fontId="64" fillId="4" borderId="11" xfId="1" applyFont="1" applyFill="1" applyBorder="1" applyAlignment="1">
      <alignment horizontal="center" vertical="center"/>
    </xf>
    <xf numFmtId="0" fontId="64" fillId="4" borderId="6" xfId="1" applyFont="1" applyFill="1" applyBorder="1" applyAlignment="1">
      <alignment horizontal="center" vertical="center"/>
    </xf>
    <xf numFmtId="0" fontId="64" fillId="4" borderId="14" xfId="1" applyFont="1" applyFill="1" applyBorder="1" applyAlignment="1">
      <alignment horizontal="center" vertical="center"/>
    </xf>
    <xf numFmtId="0" fontId="64" fillId="4" borderId="15" xfId="1" applyFont="1" applyFill="1" applyBorder="1" applyAlignment="1">
      <alignment horizontal="center" vertical="center"/>
    </xf>
    <xf numFmtId="0" fontId="64" fillId="4" borderId="16" xfId="1" applyFont="1" applyFill="1" applyBorder="1" applyAlignment="1">
      <alignment horizontal="center" vertical="center"/>
    </xf>
    <xf numFmtId="0" fontId="132" fillId="4" borderId="10" xfId="1" applyFont="1" applyFill="1" applyBorder="1" applyAlignment="1">
      <alignment horizontal="center" vertical="center" wrapText="1"/>
    </xf>
    <xf numFmtId="9" fontId="122" fillId="0" borderId="8" xfId="1" applyNumberFormat="1" applyFont="1" applyBorder="1" applyAlignment="1">
      <alignment horizontal="center" vertical="center"/>
    </xf>
    <xf numFmtId="9" fontId="122" fillId="0" borderId="11" xfId="1" applyNumberFormat="1" applyFont="1" applyBorder="1" applyAlignment="1">
      <alignment horizontal="center" vertical="center"/>
    </xf>
    <xf numFmtId="9" fontId="122" fillId="0" borderId="15" xfId="1" applyNumberFormat="1" applyFont="1" applyBorder="1" applyAlignment="1">
      <alignment horizontal="center" vertical="center"/>
    </xf>
    <xf numFmtId="9" fontId="122" fillId="0" borderId="16" xfId="1" applyNumberFormat="1" applyFont="1" applyBorder="1" applyAlignment="1">
      <alignment horizontal="center" vertical="center"/>
    </xf>
    <xf numFmtId="9" fontId="122" fillId="0" borderId="0" xfId="1" applyNumberFormat="1" applyFont="1" applyBorder="1" applyAlignment="1">
      <alignment horizontal="center" vertical="center"/>
    </xf>
    <xf numFmtId="0" fontId="96" fillId="0" borderId="34" xfId="2" applyFont="1" applyFill="1" applyBorder="1" applyAlignment="1">
      <alignment vertical="center" wrapText="1"/>
    </xf>
    <xf numFmtId="0" fontId="96" fillId="0" borderId="13" xfId="2" applyFont="1" applyFill="1" applyBorder="1" applyAlignment="1">
      <alignment vertical="center" wrapText="1"/>
    </xf>
    <xf numFmtId="0" fontId="96" fillId="0" borderId="34" xfId="2" applyNumberFormat="1" applyFont="1" applyFill="1" applyBorder="1" applyAlignment="1">
      <alignment horizontal="center" vertical="center" wrapText="1"/>
    </xf>
    <xf numFmtId="0" fontId="96" fillId="0" borderId="13" xfId="2" applyNumberFormat="1" applyFont="1" applyFill="1" applyBorder="1" applyAlignment="1">
      <alignment horizontal="center" vertical="center" wrapText="1"/>
    </xf>
    <xf numFmtId="0" fontId="96" fillId="0" borderId="8" xfId="2" applyNumberFormat="1" applyFont="1" applyFill="1" applyBorder="1" applyAlignment="1">
      <alignment horizontal="center" vertical="center" wrapText="1"/>
    </xf>
    <xf numFmtId="0" fontId="96" fillId="0" borderId="11" xfId="2" applyNumberFormat="1" applyFont="1" applyFill="1" applyBorder="1" applyAlignment="1">
      <alignment horizontal="center" vertical="center" wrapText="1"/>
    </xf>
    <xf numFmtId="0" fontId="96" fillId="0" borderId="15" xfId="2" applyNumberFormat="1" applyFont="1" applyFill="1" applyBorder="1" applyAlignment="1">
      <alignment horizontal="center" vertical="center" wrapText="1"/>
    </xf>
    <xf numFmtId="0" fontId="96" fillId="0" borderId="16" xfId="2" applyNumberFormat="1" applyFont="1" applyFill="1" applyBorder="1" applyAlignment="1">
      <alignment horizontal="center" vertical="center" wrapText="1"/>
    </xf>
    <xf numFmtId="0" fontId="96" fillId="0" borderId="3" xfId="2" applyFont="1" applyFill="1" applyBorder="1" applyAlignment="1">
      <alignment horizontal="left" vertical="center" wrapText="1"/>
    </xf>
    <xf numFmtId="0" fontId="96" fillId="0" borderId="9" xfId="2" applyFont="1" applyFill="1" applyBorder="1" applyAlignment="1">
      <alignment horizontal="left" vertical="center" wrapText="1"/>
    </xf>
    <xf numFmtId="0" fontId="129" fillId="0" borderId="0" xfId="1" applyFont="1" applyAlignment="1">
      <alignment horizontal="center"/>
    </xf>
    <xf numFmtId="1" fontId="124" fillId="0" borderId="1" xfId="371" applyNumberFormat="1" applyFont="1" applyFill="1" applyBorder="1" applyAlignment="1">
      <alignment horizontal="center" wrapText="1"/>
    </xf>
    <xf numFmtId="0" fontId="125" fillId="2" borderId="3" xfId="2" applyFont="1" applyFill="1" applyBorder="1" applyAlignment="1">
      <alignment horizontal="center" vertical="center" wrapText="1"/>
    </xf>
    <xf numFmtId="0" fontId="125" fillId="2" borderId="9" xfId="2" applyFont="1" applyFill="1" applyBorder="1" applyAlignment="1">
      <alignment horizontal="center" vertical="center" wrapText="1"/>
    </xf>
    <xf numFmtId="0" fontId="125" fillId="2" borderId="8" xfId="2" applyFont="1" applyFill="1" applyBorder="1" applyAlignment="1">
      <alignment horizontal="center" vertical="center" wrapText="1"/>
    </xf>
    <xf numFmtId="0" fontId="125" fillId="2" borderId="11" xfId="2" applyFont="1" applyFill="1" applyBorder="1" applyAlignment="1">
      <alignment horizontal="center" vertical="center" wrapText="1"/>
    </xf>
    <xf numFmtId="0" fontId="125" fillId="2" borderId="15" xfId="2" applyFont="1" applyFill="1" applyBorder="1" applyAlignment="1">
      <alignment horizontal="center" vertical="center" wrapText="1"/>
    </xf>
    <xf numFmtId="0" fontId="125" fillId="2" borderId="16" xfId="2" applyFont="1" applyFill="1" applyBorder="1" applyAlignment="1">
      <alignment horizontal="center" vertical="center" wrapText="1"/>
    </xf>
    <xf numFmtId="0" fontId="134" fillId="0" borderId="8" xfId="271" applyFont="1" applyBorder="1" applyAlignment="1">
      <alignment horizontal="center" vertical="center" wrapText="1"/>
    </xf>
    <xf numFmtId="0" fontId="134" fillId="0" borderId="11" xfId="271" applyFont="1" applyBorder="1" applyAlignment="1">
      <alignment horizontal="center" vertical="center" wrapText="1"/>
    </xf>
    <xf numFmtId="0" fontId="59" fillId="0" borderId="3" xfId="271" applyFont="1" applyBorder="1" applyAlignment="1">
      <alignment horizontal="center" vertical="center"/>
    </xf>
    <xf numFmtId="0" fontId="59" fillId="0" borderId="7" xfId="271" applyFont="1" applyBorder="1" applyAlignment="1">
      <alignment horizontal="center" vertical="center"/>
    </xf>
    <xf numFmtId="0" fontId="59" fillId="0" borderId="9" xfId="271" applyFont="1" applyBorder="1" applyAlignment="1">
      <alignment horizontal="center" vertical="center"/>
    </xf>
    <xf numFmtId="0" fontId="134" fillId="0" borderId="2" xfId="271" applyFont="1" applyBorder="1" applyAlignment="1">
      <alignment horizontal="center" vertical="center"/>
    </xf>
    <xf numFmtId="0" fontId="134" fillId="0" borderId="5" xfId="271" applyFont="1" applyBorder="1" applyAlignment="1">
      <alignment horizontal="center" vertical="center"/>
    </xf>
    <xf numFmtId="0" fontId="135" fillId="0" borderId="3" xfId="271" applyFont="1" applyBorder="1" applyAlignment="1">
      <alignment horizontal="center" vertical="center"/>
    </xf>
    <xf numFmtId="0" fontId="135" fillId="0" borderId="7" xfId="271" applyFont="1" applyBorder="1" applyAlignment="1">
      <alignment horizontal="center" vertical="center"/>
    </xf>
    <xf numFmtId="0" fontId="135" fillId="0" borderId="8" xfId="271" applyFont="1" applyBorder="1" applyAlignment="1">
      <alignment horizontal="center" vertical="center"/>
    </xf>
    <xf numFmtId="0" fontId="135" fillId="0" borderId="15" xfId="271" applyFont="1" applyBorder="1" applyAlignment="1">
      <alignment horizontal="center" vertical="center"/>
    </xf>
    <xf numFmtId="0" fontId="134" fillId="0" borderId="2" xfId="271" applyFont="1" applyBorder="1" applyAlignment="1">
      <alignment horizontal="center" vertical="center" wrapText="1"/>
    </xf>
    <xf numFmtId="0" fontId="134" fillId="0" borderId="5" xfId="271" applyFont="1" applyBorder="1" applyAlignment="1">
      <alignment horizontal="center" vertical="center" wrapText="1"/>
    </xf>
    <xf numFmtId="0" fontId="52" fillId="0" borderId="0" xfId="271" applyFont="1" applyBorder="1" applyAlignment="1">
      <alignment horizontal="center"/>
    </xf>
    <xf numFmtId="0" fontId="52" fillId="0" borderId="90" xfId="271" applyFont="1" applyBorder="1" applyAlignment="1">
      <alignment horizontal="center"/>
    </xf>
    <xf numFmtId="1" fontId="59" fillId="0" borderId="3" xfId="271" applyNumberFormat="1" applyFont="1" applyBorder="1" applyAlignment="1">
      <alignment horizontal="center" vertical="center" wrapText="1"/>
    </xf>
    <xf numFmtId="1" fontId="59" fillId="0" borderId="7" xfId="271" applyNumberFormat="1" applyFont="1" applyBorder="1" applyAlignment="1">
      <alignment horizontal="center" vertical="center" wrapText="1"/>
    </xf>
    <xf numFmtId="1" fontId="59" fillId="0" borderId="9" xfId="271" applyNumberFormat="1" applyFont="1" applyBorder="1" applyAlignment="1">
      <alignment horizontal="center" vertical="center" wrapText="1"/>
    </xf>
    <xf numFmtId="0" fontId="59" fillId="0" borderId="10" xfId="271" applyFont="1" applyBorder="1" applyAlignment="1">
      <alignment horizontal="center" vertical="center"/>
    </xf>
    <xf numFmtId="0" fontId="134" fillId="0" borderId="10" xfId="271" applyFont="1" applyBorder="1" applyAlignment="1">
      <alignment horizontal="center" vertical="center"/>
    </xf>
    <xf numFmtId="0" fontId="59" fillId="0" borderId="10" xfId="271" applyFont="1" applyBorder="1" applyAlignment="1">
      <alignment horizontal="center" vertical="center" wrapText="1"/>
    </xf>
    <xf numFmtId="0" fontId="134" fillId="0" borderId="10" xfId="271" applyFont="1" applyBorder="1" applyAlignment="1">
      <alignment horizontal="center" vertical="center" wrapText="1"/>
    </xf>
    <xf numFmtId="1" fontId="59" fillId="0" borderId="10" xfId="271" applyNumberFormat="1" applyFont="1" applyBorder="1" applyAlignment="1">
      <alignment horizontal="center" vertical="center"/>
    </xf>
    <xf numFmtId="1" fontId="134" fillId="0" borderId="10" xfId="271" applyNumberFormat="1" applyFont="1" applyBorder="1" applyAlignment="1">
      <alignment horizontal="center" vertical="center"/>
    </xf>
    <xf numFmtId="0" fontId="134" fillId="0" borderId="45" xfId="271" applyFont="1" applyBorder="1" applyAlignment="1">
      <alignment vertical="center"/>
    </xf>
    <xf numFmtId="0" fontId="134" fillId="0" borderId="62" xfId="271" applyFont="1" applyBorder="1" applyAlignment="1">
      <alignment vertical="center"/>
    </xf>
    <xf numFmtId="1" fontId="134" fillId="0" borderId="8" xfId="271" applyNumberFormat="1" applyFont="1" applyBorder="1" applyAlignment="1">
      <alignment horizontal="center" vertical="center" wrapText="1"/>
    </xf>
    <xf numFmtId="1" fontId="134" fillId="0" borderId="11" xfId="271" applyNumberFormat="1" applyFont="1" applyBorder="1" applyAlignment="1">
      <alignment horizontal="center" vertical="center" wrapText="1"/>
    </xf>
    <xf numFmtId="1" fontId="134" fillId="0" borderId="6" xfId="271" applyNumberFormat="1" applyFont="1" applyBorder="1" applyAlignment="1">
      <alignment horizontal="center" vertical="center" wrapText="1"/>
    </xf>
    <xf numFmtId="1" fontId="134" fillId="0" borderId="14" xfId="271" applyNumberFormat="1" applyFont="1" applyBorder="1" applyAlignment="1">
      <alignment horizontal="center" vertical="center" wrapText="1"/>
    </xf>
    <xf numFmtId="1" fontId="134" fillId="0" borderId="15" xfId="271" applyNumberFormat="1" applyFont="1" applyBorder="1" applyAlignment="1">
      <alignment horizontal="center" vertical="center" wrapText="1"/>
    </xf>
    <xf numFmtId="1" fontId="134" fillId="0" borderId="16" xfId="271" applyNumberFormat="1" applyFont="1" applyBorder="1" applyAlignment="1">
      <alignment horizontal="center" vertical="center" wrapText="1"/>
    </xf>
    <xf numFmtId="0" fontId="135" fillId="3" borderId="2" xfId="271" applyFont="1" applyFill="1" applyBorder="1" applyAlignment="1">
      <alignment horizontal="center" vertical="center" wrapText="1"/>
    </xf>
    <xf numFmtId="0" fontId="135" fillId="3" borderId="5" xfId="271" applyFont="1" applyFill="1" applyBorder="1" applyAlignment="1">
      <alignment horizontal="center" vertical="center" wrapText="1"/>
    </xf>
    <xf numFmtId="0" fontId="135" fillId="3" borderId="2" xfId="271" applyFont="1" applyFill="1" applyBorder="1" applyAlignment="1">
      <alignment horizontal="center" vertical="center"/>
    </xf>
    <xf numFmtId="0" fontId="135" fillId="3" borderId="5" xfId="271" applyFont="1" applyFill="1" applyBorder="1" applyAlignment="1">
      <alignment horizontal="center" vertical="center"/>
    </xf>
    <xf numFmtId="1" fontId="134" fillId="0" borderId="8" xfId="362" applyNumberFormat="1" applyFont="1" applyFill="1" applyBorder="1" applyAlignment="1" applyProtection="1">
      <alignment horizontal="center" vertical="center" wrapText="1"/>
    </xf>
    <xf numFmtId="1" fontId="134" fillId="0" borderId="11" xfId="362" applyNumberFormat="1" applyFont="1" applyFill="1" applyBorder="1" applyAlignment="1" applyProtection="1">
      <alignment horizontal="center" vertical="center" wrapText="1"/>
    </xf>
    <xf numFmtId="1" fontId="134" fillId="0" borderId="6" xfId="362" applyNumberFormat="1" applyFont="1" applyFill="1" applyBorder="1" applyAlignment="1" applyProtection="1">
      <alignment horizontal="center" vertical="center" wrapText="1"/>
    </xf>
    <xf numFmtId="1" fontId="134" fillId="0" borderId="14" xfId="362" applyNumberFormat="1" applyFont="1" applyFill="1" applyBorder="1" applyAlignment="1" applyProtection="1">
      <alignment horizontal="center" vertical="center" wrapText="1"/>
    </xf>
    <xf numFmtId="1" fontId="134" fillId="0" borderId="15" xfId="362" applyNumberFormat="1" applyFont="1" applyFill="1" applyBorder="1" applyAlignment="1" applyProtection="1">
      <alignment horizontal="center" vertical="center" wrapText="1"/>
    </xf>
    <xf numFmtId="1" fontId="134" fillId="0" borderId="16" xfId="362" applyNumberFormat="1" applyFont="1" applyFill="1" applyBorder="1" applyAlignment="1" applyProtection="1">
      <alignment horizontal="center" vertical="center" wrapText="1"/>
    </xf>
    <xf numFmtId="0" fontId="58" fillId="4" borderId="2" xfId="1" applyFont="1" applyFill="1" applyBorder="1" applyAlignment="1">
      <alignment horizontal="center" vertical="center" wrapText="1"/>
    </xf>
    <xf numFmtId="0" fontId="58" fillId="4" borderId="5" xfId="1" applyFont="1" applyFill="1" applyBorder="1" applyAlignment="1">
      <alignment horizontal="center" vertical="center" wrapText="1"/>
    </xf>
    <xf numFmtId="0" fontId="58" fillId="4" borderId="4" xfId="1" applyFont="1" applyFill="1" applyBorder="1" applyAlignment="1">
      <alignment horizontal="center" vertical="center" wrapText="1"/>
    </xf>
    <xf numFmtId="9" fontId="10" fillId="0" borderId="10" xfId="4" applyFont="1" applyBorder="1" applyAlignment="1">
      <alignment horizontal="center" vertical="center"/>
    </xf>
    <xf numFmtId="0" fontId="135" fillId="0" borderId="3" xfId="271" applyFont="1" applyBorder="1" applyAlignment="1">
      <alignment horizontal="center" vertical="top" wrapText="1"/>
    </xf>
    <xf numFmtId="0" fontId="135" fillId="0" borderId="7" xfId="271" applyFont="1" applyBorder="1" applyAlignment="1">
      <alignment horizontal="center" vertical="top" wrapText="1"/>
    </xf>
    <xf numFmtId="0" fontId="135" fillId="0" borderId="9" xfId="271" applyFont="1" applyBorder="1" applyAlignment="1">
      <alignment horizontal="center" vertical="top" wrapText="1"/>
    </xf>
    <xf numFmtId="0" fontId="134" fillId="0" borderId="3" xfId="271" applyFont="1" applyBorder="1" applyAlignment="1">
      <alignment horizontal="left" vertical="center" wrapText="1"/>
    </xf>
    <xf numFmtId="0" fontId="134" fillId="0" borderId="29" xfId="271" applyFont="1" applyBorder="1" applyAlignment="1">
      <alignment horizontal="left" vertical="center" wrapText="1"/>
    </xf>
    <xf numFmtId="0" fontId="134" fillId="0" borderId="3" xfId="271" applyFont="1" applyBorder="1" applyAlignment="1">
      <alignment horizontal="center" vertical="center" wrapText="1"/>
    </xf>
    <xf numFmtId="0" fontId="134" fillId="0" borderId="7" xfId="271" applyFont="1" applyBorder="1" applyAlignment="1">
      <alignment horizontal="center" vertical="center" wrapText="1"/>
    </xf>
    <xf numFmtId="0" fontId="134" fillId="0" borderId="9" xfId="271" applyFont="1" applyBorder="1" applyAlignment="1">
      <alignment horizontal="center" vertical="center" wrapText="1"/>
    </xf>
    <xf numFmtId="1" fontId="134" fillId="0" borderId="3" xfId="271" applyNumberFormat="1" applyFont="1" applyBorder="1" applyAlignment="1">
      <alignment horizontal="center" vertical="center" wrapText="1"/>
    </xf>
    <xf numFmtId="1" fontId="134" fillId="0" borderId="7" xfId="271" applyNumberFormat="1" applyFont="1" applyBorder="1" applyAlignment="1">
      <alignment horizontal="center" vertical="center" wrapText="1"/>
    </xf>
    <xf numFmtId="1" fontId="134" fillId="0" borderId="9" xfId="271" applyNumberFormat="1" applyFont="1" applyBorder="1" applyAlignment="1">
      <alignment horizontal="center" vertical="center" wrapText="1"/>
    </xf>
    <xf numFmtId="0" fontId="134" fillId="0" borderId="45" xfId="271" applyFont="1" applyBorder="1" applyAlignment="1">
      <alignment vertical="center" wrapText="1"/>
    </xf>
    <xf numFmtId="0" fontId="134" fillId="0" borderId="30" xfId="271" applyFont="1" applyBorder="1" applyAlignment="1">
      <alignment vertical="center" wrapText="1"/>
    </xf>
    <xf numFmtId="0" fontId="134" fillId="0" borderId="13" xfId="271" applyFont="1" applyBorder="1" applyAlignment="1">
      <alignment vertical="center" wrapText="1"/>
    </xf>
    <xf numFmtId="1" fontId="59" fillId="0" borderId="10" xfId="271" applyNumberFormat="1" applyFont="1" applyBorder="1" applyAlignment="1">
      <alignment horizontal="center" vertical="center" wrapText="1"/>
    </xf>
    <xf numFmtId="0" fontId="134" fillId="0" borderId="31" xfId="271" applyFont="1" applyFill="1" applyBorder="1" applyAlignment="1">
      <alignment vertical="center"/>
    </xf>
    <xf numFmtId="0" fontId="134" fillId="0" borderId="9" xfId="271" applyFont="1" applyFill="1" applyBorder="1" applyAlignment="1">
      <alignment vertical="center"/>
    </xf>
    <xf numFmtId="0" fontId="65" fillId="2" borderId="9" xfId="271" applyFont="1" applyFill="1" applyBorder="1" applyAlignment="1">
      <alignment horizontal="center" vertical="center"/>
    </xf>
    <xf numFmtId="0" fontId="134" fillId="0" borderId="27" xfId="271" applyFont="1" applyBorder="1" applyAlignment="1">
      <alignment vertical="center" wrapText="1"/>
    </xf>
    <xf numFmtId="0" fontId="58" fillId="0" borderId="3" xfId="271" applyFont="1" applyBorder="1" applyAlignment="1">
      <alignment horizontal="center" vertical="top" wrapText="1"/>
    </xf>
    <xf numFmtId="0" fontId="58" fillId="0" borderId="7" xfId="271" applyFont="1" applyBorder="1" applyAlignment="1">
      <alignment horizontal="center" vertical="top" wrapText="1"/>
    </xf>
    <xf numFmtId="0" fontId="58" fillId="0" borderId="9" xfId="271" applyFont="1" applyBorder="1" applyAlignment="1">
      <alignment horizontal="center" vertical="top" wrapText="1"/>
    </xf>
    <xf numFmtId="0" fontId="59" fillId="0" borderId="3" xfId="271" applyFont="1" applyBorder="1" applyAlignment="1">
      <alignment horizontal="center" vertical="center" wrapText="1"/>
    </xf>
    <xf numFmtId="0" fontId="59" fillId="0" borderId="7" xfId="271" applyFont="1" applyBorder="1" applyAlignment="1">
      <alignment horizontal="center" vertical="center" wrapText="1"/>
    </xf>
    <xf numFmtId="0" fontId="59" fillId="0" borderId="9" xfId="271" applyFont="1" applyBorder="1" applyAlignment="1">
      <alignment horizontal="center" vertical="center" wrapText="1"/>
    </xf>
    <xf numFmtId="0" fontId="58" fillId="0" borderId="10" xfId="271" applyFont="1" applyBorder="1" applyAlignment="1">
      <alignment horizontal="center" vertical="top" wrapText="1"/>
    </xf>
    <xf numFmtId="0" fontId="59" fillId="0" borderId="27" xfId="271" applyFont="1" applyBorder="1" applyAlignment="1">
      <alignment vertical="center"/>
    </xf>
    <xf numFmtId="0" fontId="59" fillId="0" borderId="45" xfId="271" applyFont="1" applyBorder="1" applyAlignment="1">
      <alignment vertical="center"/>
    </xf>
    <xf numFmtId="0" fontId="59" fillId="0" borderId="85" xfId="271" applyFont="1" applyBorder="1" applyAlignment="1">
      <alignment horizontal="left" vertical="top" wrapText="1"/>
    </xf>
    <xf numFmtId="0" fontId="59" fillId="0" borderId="3" xfId="271" applyFont="1" applyFill="1" applyBorder="1" applyAlignment="1">
      <alignment horizontal="left" vertical="center" wrapText="1"/>
    </xf>
    <xf numFmtId="0" fontId="59" fillId="0" borderId="9" xfId="271" applyFont="1" applyFill="1" applyBorder="1" applyAlignment="1">
      <alignment horizontal="left" vertical="center" wrapText="1"/>
    </xf>
    <xf numFmtId="1" fontId="59" fillId="0" borderId="8" xfId="271" applyNumberFormat="1" applyFont="1" applyBorder="1" applyAlignment="1">
      <alignment horizontal="center" vertical="center" wrapText="1"/>
    </xf>
    <xf numFmtId="1" fontId="59" fillId="0" borderId="11" xfId="271" applyNumberFormat="1" applyFont="1" applyBorder="1" applyAlignment="1">
      <alignment horizontal="center" vertical="center" wrapText="1"/>
    </xf>
    <xf numFmtId="1" fontId="59" fillId="0" borderId="15" xfId="271" applyNumberFormat="1" applyFont="1" applyBorder="1" applyAlignment="1">
      <alignment horizontal="center" vertical="center" wrapText="1"/>
    </xf>
    <xf numFmtId="1" fontId="59" fillId="0" borderId="16" xfId="271" applyNumberFormat="1" applyFont="1" applyBorder="1" applyAlignment="1">
      <alignment horizontal="center" vertical="center" wrapText="1"/>
    </xf>
    <xf numFmtId="0" fontId="134" fillId="0" borderId="3" xfId="271" applyFont="1" applyFill="1" applyBorder="1" applyAlignment="1">
      <alignment horizontal="center" vertical="center" wrapText="1"/>
    </xf>
    <xf numFmtId="0" fontId="134" fillId="0" borderId="7" xfId="271" applyFont="1" applyFill="1" applyBorder="1" applyAlignment="1">
      <alignment horizontal="center" vertical="center" wrapText="1"/>
    </xf>
    <xf numFmtId="0" fontId="134" fillId="0" borderId="9" xfId="271" applyFont="1" applyFill="1" applyBorder="1" applyAlignment="1">
      <alignment horizontal="center" vertical="center" wrapText="1"/>
    </xf>
    <xf numFmtId="0" fontId="60" fillId="0" borderId="0" xfId="1" applyFont="1" applyAlignment="1">
      <alignment horizontal="center"/>
    </xf>
    <xf numFmtId="0" fontId="65" fillId="2" borderId="10" xfId="271" applyFont="1" applyFill="1" applyBorder="1" applyAlignment="1">
      <alignment horizontal="center" vertical="center" wrapText="1"/>
    </xf>
    <xf numFmtId="1" fontId="59" fillId="0" borderId="6" xfId="271" applyNumberFormat="1" applyFont="1" applyBorder="1" applyAlignment="1">
      <alignment horizontal="center" vertical="center" wrapText="1"/>
    </xf>
    <xf numFmtId="1" fontId="59" fillId="0" borderId="14" xfId="271" applyNumberFormat="1" applyFont="1" applyBorder="1" applyAlignment="1">
      <alignment horizontal="center" vertical="center" wrapText="1"/>
    </xf>
    <xf numFmtId="1" fontId="135" fillId="0" borderId="10" xfId="362" applyNumberFormat="1" applyFont="1" applyFill="1" applyBorder="1" applyAlignment="1" applyProtection="1">
      <alignment horizontal="center" vertical="center" wrapText="1"/>
    </xf>
    <xf numFmtId="1" fontId="135" fillId="0" borderId="3" xfId="362" applyNumberFormat="1" applyFont="1" applyFill="1" applyBorder="1" applyAlignment="1" applyProtection="1">
      <alignment horizontal="center" vertical="center" wrapText="1"/>
    </xf>
    <xf numFmtId="0" fontId="134" fillId="0" borderId="4" xfId="271" applyFont="1" applyBorder="1" applyAlignment="1">
      <alignment horizontal="center" vertical="center"/>
    </xf>
    <xf numFmtId="0" fontId="58" fillId="4" borderId="10" xfId="1" applyFont="1" applyFill="1" applyBorder="1" applyAlignment="1">
      <alignment horizontal="center" vertical="center" wrapText="1"/>
    </xf>
    <xf numFmtId="0" fontId="134" fillId="0" borderId="8" xfId="271" applyFont="1" applyBorder="1" applyAlignment="1">
      <alignment horizontal="center" vertical="center"/>
    </xf>
    <xf numFmtId="0" fontId="134" fillId="0" borderId="11" xfId="271" applyFont="1" applyBorder="1" applyAlignment="1">
      <alignment horizontal="center" vertical="center"/>
    </xf>
    <xf numFmtId="0" fontId="134" fillId="0" borderId="15" xfId="271" applyFont="1" applyBorder="1" applyAlignment="1">
      <alignment horizontal="center" vertical="center"/>
    </xf>
    <xf numFmtId="0" fontId="134" fillId="0" borderId="16" xfId="271" applyFont="1" applyBorder="1" applyAlignment="1">
      <alignment horizontal="center" vertical="center"/>
    </xf>
    <xf numFmtId="0" fontId="59" fillId="0" borderId="8" xfId="271" applyFont="1" applyBorder="1" applyAlignment="1">
      <alignment horizontal="center" vertical="center" wrapText="1"/>
    </xf>
    <xf numFmtId="0" fontId="59" fillId="0" borderId="11" xfId="271" applyFont="1" applyBorder="1" applyAlignment="1">
      <alignment horizontal="center" vertical="center" wrapText="1"/>
    </xf>
    <xf numFmtId="0" fontId="59" fillId="0" borderId="6" xfId="271" applyFont="1" applyBorder="1" applyAlignment="1">
      <alignment horizontal="center" vertical="center" wrapText="1"/>
    </xf>
    <xf numFmtId="0" fontId="59" fillId="0" borderId="14" xfId="271" applyFont="1" applyBorder="1" applyAlignment="1">
      <alignment horizontal="center" vertical="center" wrapText="1"/>
    </xf>
    <xf numFmtId="0" fontId="59" fillId="0" borderId="15" xfId="271" applyFont="1" applyBorder="1" applyAlignment="1">
      <alignment horizontal="center" vertical="center" wrapText="1"/>
    </xf>
    <xf numFmtId="0" fontId="59" fillId="0" borderId="16" xfId="271" applyFont="1" applyBorder="1" applyAlignment="1">
      <alignment horizontal="center" vertical="center" wrapText="1"/>
    </xf>
    <xf numFmtId="1" fontId="59" fillId="0" borderId="2" xfId="271" applyNumberFormat="1" applyFont="1" applyBorder="1" applyAlignment="1">
      <alignment horizontal="center" vertical="center" wrapText="1"/>
    </xf>
    <xf numFmtId="1" fontId="59" fillId="0" borderId="5" xfId="271" applyNumberFormat="1" applyFont="1" applyBorder="1" applyAlignment="1">
      <alignment horizontal="center" vertical="center" wrapText="1"/>
    </xf>
    <xf numFmtId="0" fontId="59" fillId="0" borderId="59" xfId="271" applyFont="1" applyBorder="1" applyAlignment="1">
      <alignment horizontal="left" vertical="top" wrapText="1"/>
    </xf>
    <xf numFmtId="0" fontId="59" fillId="0" borderId="60" xfId="271" applyFont="1" applyBorder="1" applyAlignment="1">
      <alignment horizontal="left" vertical="top" wrapText="1"/>
    </xf>
    <xf numFmtId="0" fontId="59" fillId="0" borderId="61" xfId="271" applyFont="1" applyBorder="1" applyAlignment="1">
      <alignment horizontal="left" vertical="top" wrapText="1"/>
    </xf>
    <xf numFmtId="0" fontId="135" fillId="3" borderId="2" xfId="271" applyFont="1" applyFill="1" applyBorder="1" applyAlignment="1">
      <alignment horizontal="center" vertical="top" wrapText="1"/>
    </xf>
    <xf numFmtId="0" fontId="135" fillId="3" borderId="4" xfId="271" applyFont="1" applyFill="1" applyBorder="1" applyAlignment="1">
      <alignment horizontal="center" vertical="top" wrapText="1"/>
    </xf>
    <xf numFmtId="0" fontId="135" fillId="3" borderId="5" xfId="271" applyFont="1" applyFill="1" applyBorder="1" applyAlignment="1">
      <alignment horizontal="center" vertical="top" wrapText="1"/>
    </xf>
    <xf numFmtId="0" fontId="59" fillId="0" borderId="59" xfId="271" applyFont="1" applyBorder="1" applyAlignment="1">
      <alignment horizontal="left" vertical="center" wrapText="1"/>
    </xf>
    <xf numFmtId="0" fontId="59" fillId="0" borderId="60" xfId="271" applyFont="1" applyBorder="1" applyAlignment="1">
      <alignment horizontal="left" vertical="center" wrapText="1"/>
    </xf>
    <xf numFmtId="0" fontId="59" fillId="0" borderId="61" xfId="271" applyFont="1" applyBorder="1" applyAlignment="1">
      <alignment horizontal="left" vertical="center" wrapText="1"/>
    </xf>
    <xf numFmtId="0" fontId="3" fillId="0" borderId="3" xfId="271" applyNumberFormat="1" applyFont="1" applyBorder="1" applyAlignment="1" applyProtection="1">
      <alignment horizontal="center" vertical="center" wrapText="1"/>
      <protection hidden="1"/>
    </xf>
    <xf numFmtId="0" fontId="3" fillId="0" borderId="9" xfId="271" applyNumberFormat="1" applyFont="1" applyBorder="1" applyAlignment="1" applyProtection="1">
      <alignment horizontal="center" vertical="center" wrapText="1"/>
      <protection hidden="1"/>
    </xf>
    <xf numFmtId="3" fontId="13" fillId="0" borderId="3" xfId="271" applyNumberFormat="1" applyFont="1" applyFill="1" applyBorder="1" applyAlignment="1" applyProtection="1">
      <alignment horizontal="center" vertical="center"/>
      <protection hidden="1"/>
    </xf>
    <xf numFmtId="3" fontId="13" fillId="0" borderId="9" xfId="271" applyNumberFormat="1" applyFont="1" applyFill="1" applyBorder="1" applyAlignment="1" applyProtection="1">
      <alignment horizontal="center" vertical="center"/>
      <protection hidden="1"/>
    </xf>
    <xf numFmtId="0" fontId="63" fillId="0" borderId="2" xfId="271" applyFont="1" applyBorder="1" applyAlignment="1">
      <alignment horizontal="center" vertical="center" wrapText="1"/>
    </xf>
    <xf numFmtId="0" fontId="63" fillId="0" borderId="5" xfId="271" applyFont="1" applyBorder="1" applyAlignment="1">
      <alignment horizontal="center" vertical="center" wrapText="1"/>
    </xf>
    <xf numFmtId="0" fontId="76" fillId="0" borderId="3" xfId="271" applyFont="1" applyBorder="1" applyAlignment="1" applyProtection="1">
      <alignment horizontal="center" vertical="center" wrapText="1"/>
      <protection hidden="1"/>
    </xf>
    <xf numFmtId="0" fontId="76" fillId="0" borderId="7" xfId="271" applyFont="1" applyBorder="1" applyAlignment="1" applyProtection="1">
      <alignment horizontal="center" vertical="center" wrapText="1"/>
      <protection hidden="1"/>
    </xf>
    <xf numFmtId="0" fontId="107" fillId="4" borderId="10" xfId="1" applyFont="1" applyFill="1" applyBorder="1" applyAlignment="1">
      <alignment horizontal="center" vertical="center" wrapText="1"/>
    </xf>
    <xf numFmtId="9" fontId="44" fillId="0" borderId="10" xfId="271" applyNumberFormat="1" applyFont="1" applyBorder="1" applyAlignment="1">
      <alignment horizontal="center" vertical="center"/>
    </xf>
    <xf numFmtId="0" fontId="44" fillId="0" borderId="3" xfId="271" applyFont="1" applyBorder="1" applyAlignment="1" applyProtection="1">
      <alignment horizontal="center" vertical="center"/>
      <protection hidden="1"/>
    </xf>
    <xf numFmtId="0" fontId="44" fillId="0" borderId="7" xfId="271" applyFont="1" applyBorder="1" applyAlignment="1" applyProtection="1">
      <alignment horizontal="center" vertical="center"/>
      <protection hidden="1"/>
    </xf>
    <xf numFmtId="0" fontId="44" fillId="0" borderId="9" xfId="271" applyFont="1" applyBorder="1" applyAlignment="1" applyProtection="1">
      <alignment horizontal="center" vertical="center"/>
      <protection hidden="1"/>
    </xf>
    <xf numFmtId="0" fontId="3" fillId="53" borderId="8" xfId="271" applyFont="1" applyFill="1" applyBorder="1" applyAlignment="1" applyProtection="1">
      <alignment horizontal="center" vertical="center" wrapText="1"/>
      <protection hidden="1"/>
    </xf>
    <xf numFmtId="0" fontId="3" fillId="53" borderId="11" xfId="271" applyFont="1" applyFill="1" applyBorder="1" applyAlignment="1" applyProtection="1">
      <alignment horizontal="center" vertical="center" wrapText="1"/>
      <protection hidden="1"/>
    </xf>
    <xf numFmtId="0" fontId="3" fillId="53" borderId="15" xfId="271" applyFont="1" applyFill="1" applyBorder="1" applyAlignment="1" applyProtection="1">
      <alignment horizontal="center" vertical="center" wrapText="1"/>
      <protection hidden="1"/>
    </xf>
    <xf numFmtId="0" fontId="3" fillId="53" borderId="16" xfId="271" applyFont="1" applyFill="1" applyBorder="1" applyAlignment="1" applyProtection="1">
      <alignment horizontal="center" vertical="center" wrapText="1"/>
      <protection hidden="1"/>
    </xf>
    <xf numFmtId="2" fontId="3" fillId="0" borderId="3" xfId="271" applyNumberFormat="1" applyFont="1" applyBorder="1" applyAlignment="1" applyProtection="1">
      <alignment horizontal="center" vertical="center" wrapText="1"/>
      <protection hidden="1"/>
    </xf>
    <xf numFmtId="2" fontId="3" fillId="0" borderId="9" xfId="271" applyNumberFormat="1" applyFont="1" applyBorder="1" applyAlignment="1" applyProtection="1">
      <alignment horizontal="center" vertical="center" wrapText="1"/>
      <protection hidden="1"/>
    </xf>
    <xf numFmtId="0" fontId="3" fillId="0" borderId="3" xfId="271" applyFont="1" applyBorder="1" applyAlignment="1" applyProtection="1">
      <alignment horizontal="center" vertical="center" wrapText="1"/>
      <protection hidden="1"/>
    </xf>
    <xf numFmtId="0" fontId="3" fillId="0" borderId="9" xfId="271" applyFont="1" applyBorder="1" applyAlignment="1" applyProtection="1">
      <alignment horizontal="center" vertical="center" wrapText="1"/>
      <protection hidden="1"/>
    </xf>
    <xf numFmtId="2" fontId="3" fillId="0" borderId="3" xfId="271" applyNumberFormat="1" applyFont="1" applyFill="1" applyBorder="1" applyAlignment="1" applyProtection="1">
      <alignment horizontal="center" vertical="center"/>
      <protection hidden="1"/>
    </xf>
    <xf numFmtId="2" fontId="3" fillId="0" borderId="9" xfId="271" applyNumberFormat="1" applyFont="1" applyFill="1" applyBorder="1" applyAlignment="1" applyProtection="1">
      <alignment horizontal="center" vertical="center"/>
      <protection hidden="1"/>
    </xf>
    <xf numFmtId="0" fontId="76" fillId="0" borderId="3" xfId="0" applyFont="1" applyBorder="1" applyAlignment="1" applyProtection="1">
      <alignment horizontal="center" vertical="center" wrapText="1"/>
      <protection hidden="1"/>
    </xf>
    <xf numFmtId="0" fontId="76" fillId="0" borderId="7" xfId="0" applyFont="1" applyBorder="1" applyAlignment="1" applyProtection="1">
      <alignment horizontal="center" vertical="center" wrapText="1"/>
      <protection hidden="1"/>
    </xf>
    <xf numFmtId="0" fontId="76" fillId="0" borderId="9" xfId="0" applyFont="1" applyBorder="1" applyAlignment="1" applyProtection="1">
      <alignment horizontal="center" vertical="center" wrapText="1"/>
      <protection hidden="1"/>
    </xf>
    <xf numFmtId="0" fontId="12" fillId="0" borderId="3" xfId="271" applyFont="1" applyFill="1" applyBorder="1" applyAlignment="1" applyProtection="1">
      <alignment horizontal="center" vertical="center" wrapText="1"/>
      <protection hidden="1"/>
    </xf>
    <xf numFmtId="0" fontId="12" fillId="0" borderId="7" xfId="271" applyFont="1" applyFill="1" applyBorder="1" applyAlignment="1" applyProtection="1">
      <alignment horizontal="center" vertical="center" wrapText="1"/>
      <protection hidden="1"/>
    </xf>
    <xf numFmtId="0" fontId="12" fillId="0" borderId="9" xfId="271" applyFont="1" applyFill="1" applyBorder="1" applyAlignment="1" applyProtection="1">
      <alignment horizontal="center" vertical="center" wrapText="1"/>
      <protection hidden="1"/>
    </xf>
    <xf numFmtId="0" fontId="76" fillId="0" borderId="3" xfId="271" applyFont="1" applyFill="1" applyBorder="1" applyAlignment="1" applyProtection="1">
      <alignment horizontal="center" vertical="center" wrapText="1"/>
      <protection hidden="1"/>
    </xf>
    <xf numFmtId="0" fontId="76" fillId="0" borderId="7" xfId="271" applyFont="1" applyFill="1" applyBorder="1" applyAlignment="1" applyProtection="1">
      <alignment horizontal="center" vertical="center" wrapText="1"/>
      <protection hidden="1"/>
    </xf>
    <xf numFmtId="0" fontId="76" fillId="0" borderId="9" xfId="271" applyFont="1" applyFill="1" applyBorder="1" applyAlignment="1" applyProtection="1">
      <alignment horizontal="center" vertical="center" wrapText="1"/>
      <protection hidden="1"/>
    </xf>
    <xf numFmtId="0" fontId="76" fillId="0" borderId="9" xfId="271" applyFont="1" applyBorder="1" applyAlignment="1" applyProtection="1">
      <alignment horizontal="center" vertical="center" wrapText="1"/>
      <protection hidden="1"/>
    </xf>
    <xf numFmtId="0" fontId="3" fillId="0" borderId="7" xfId="271" applyFont="1" applyBorder="1" applyAlignment="1" applyProtection="1">
      <alignment horizontal="center" vertical="center" wrapText="1"/>
      <protection hidden="1"/>
    </xf>
    <xf numFmtId="0" fontId="44" fillId="0" borderId="3" xfId="271" applyFont="1" applyBorder="1" applyAlignment="1" applyProtection="1">
      <alignment horizontal="center" vertical="center" wrapText="1"/>
      <protection hidden="1"/>
    </xf>
    <xf numFmtId="0" fontId="44" fillId="0" borderId="7" xfId="271" applyFont="1" applyBorder="1" applyAlignment="1" applyProtection="1">
      <alignment horizontal="center" vertical="center" wrapText="1"/>
      <protection hidden="1"/>
    </xf>
    <xf numFmtId="0" fontId="44" fillId="0" borderId="9" xfId="271" applyFont="1" applyBorder="1" applyAlignment="1" applyProtection="1">
      <alignment horizontal="center" vertical="center" wrapText="1"/>
      <protection hidden="1"/>
    </xf>
    <xf numFmtId="0" fontId="3" fillId="0" borderId="31" xfId="271" applyFont="1" applyBorder="1" applyAlignment="1" applyProtection="1">
      <alignment horizontal="center" vertical="center" wrapText="1"/>
      <protection hidden="1"/>
    </xf>
    <xf numFmtId="0" fontId="3" fillId="0" borderId="29" xfId="271" applyFont="1" applyBorder="1" applyAlignment="1" applyProtection="1">
      <alignment horizontal="center" vertical="center" wrapText="1"/>
      <protection hidden="1"/>
    </xf>
    <xf numFmtId="0" fontId="3" fillId="0" borderId="31" xfId="271" applyNumberFormat="1" applyFont="1" applyBorder="1" applyAlignment="1" applyProtection="1">
      <alignment horizontal="center" vertical="center" wrapText="1"/>
      <protection hidden="1"/>
    </xf>
    <xf numFmtId="0" fontId="3" fillId="0" borderId="7" xfId="271" applyNumberFormat="1" applyFont="1" applyBorder="1" applyAlignment="1" applyProtection="1">
      <alignment horizontal="center" vertical="center" wrapText="1"/>
      <protection hidden="1"/>
    </xf>
    <xf numFmtId="0" fontId="3" fillId="2" borderId="10" xfId="271" applyFont="1" applyFill="1" applyBorder="1" applyAlignment="1" applyProtection="1">
      <alignment horizontal="center" vertical="center" wrapText="1"/>
      <protection hidden="1"/>
    </xf>
    <xf numFmtId="0" fontId="3" fillId="0" borderId="29" xfId="271" applyNumberFormat="1" applyFont="1" applyBorder="1" applyAlignment="1" applyProtection="1">
      <alignment horizontal="center" vertical="center" wrapText="1"/>
      <protection hidden="1"/>
    </xf>
    <xf numFmtId="0" fontId="2" fillId="0" borderId="0" xfId="271" applyFont="1" applyBorder="1" applyAlignment="1">
      <alignment horizontal="center"/>
    </xf>
    <xf numFmtId="0" fontId="2" fillId="0" borderId="90" xfId="271" applyFont="1" applyBorder="1" applyAlignment="1">
      <alignment horizontal="center"/>
    </xf>
    <xf numFmtId="0" fontId="123" fillId="0" borderId="0" xfId="374" applyFont="1" applyBorder="1" applyAlignment="1" applyProtection="1">
      <alignment horizontal="center" vertical="top"/>
      <protection hidden="1"/>
    </xf>
    <xf numFmtId="1" fontId="44" fillId="0" borderId="1" xfId="375" applyNumberFormat="1" applyFont="1" applyFill="1" applyBorder="1" applyAlignment="1">
      <alignment horizontal="right" vertical="center" wrapText="1"/>
    </xf>
    <xf numFmtId="0" fontId="12" fillId="2" borderId="9" xfId="271" applyFont="1" applyFill="1" applyBorder="1" applyAlignment="1" applyProtection="1">
      <alignment horizontal="center" vertical="center" wrapText="1"/>
      <protection hidden="1"/>
    </xf>
    <xf numFmtId="0" fontId="12" fillId="2" borderId="10" xfId="271" applyFont="1" applyFill="1" applyBorder="1" applyAlignment="1" applyProtection="1">
      <alignment horizontal="center" vertical="center" wrapText="1"/>
      <protection hidden="1"/>
    </xf>
    <xf numFmtId="0" fontId="12" fillId="2" borderId="3" xfId="271" applyFont="1" applyFill="1" applyBorder="1" applyAlignment="1" applyProtection="1">
      <alignment horizontal="center" vertical="center" wrapText="1"/>
      <protection hidden="1"/>
    </xf>
    <xf numFmtId="0" fontId="10" fillId="0" borderId="3" xfId="271" applyNumberFormat="1" applyFont="1" applyBorder="1" applyAlignment="1" applyProtection="1">
      <alignment horizontal="center" vertical="center" wrapText="1"/>
      <protection hidden="1"/>
    </xf>
    <xf numFmtId="0" fontId="10" fillId="0" borderId="7" xfId="271" applyNumberFormat="1" applyFont="1" applyBorder="1" applyAlignment="1" applyProtection="1">
      <alignment horizontal="center" vertical="center" wrapText="1"/>
      <protection hidden="1"/>
    </xf>
    <xf numFmtId="0" fontId="10" fillId="0" borderId="9" xfId="271" applyNumberFormat="1" applyFont="1" applyBorder="1" applyAlignment="1" applyProtection="1">
      <alignment horizontal="center" vertical="center" wrapText="1"/>
      <protection hidden="1"/>
    </xf>
    <xf numFmtId="0" fontId="9" fillId="0" borderId="10" xfId="271" applyFont="1" applyBorder="1" applyAlignment="1" applyProtection="1">
      <alignment horizontal="center" vertical="center" wrapText="1"/>
      <protection hidden="1"/>
    </xf>
    <xf numFmtId="0" fontId="9" fillId="0" borderId="2" xfId="0" applyFont="1" applyFill="1" applyBorder="1" applyAlignment="1" applyProtection="1">
      <alignment horizontal="center" vertical="center" wrapText="1"/>
      <protection hidden="1"/>
    </xf>
    <xf numFmtId="0" fontId="9" fillId="0" borderId="5" xfId="0" applyFont="1" applyFill="1" applyBorder="1" applyAlignment="1" applyProtection="1">
      <alignment horizontal="center" vertical="center" wrapText="1"/>
      <protection hidden="1"/>
    </xf>
    <xf numFmtId="0" fontId="10" fillId="0" borderId="2" xfId="271" applyFont="1" applyFill="1" applyBorder="1" applyAlignment="1" applyProtection="1">
      <alignment horizontal="center" vertical="center"/>
      <protection hidden="1"/>
    </xf>
    <xf numFmtId="0" fontId="10" fillId="0" borderId="4" xfId="271" applyFont="1" applyFill="1" applyBorder="1" applyAlignment="1" applyProtection="1">
      <alignment horizontal="center" vertical="center"/>
      <protection hidden="1"/>
    </xf>
    <xf numFmtId="0" fontId="10" fillId="0" borderId="5" xfId="271" applyFont="1" applyFill="1" applyBorder="1" applyAlignment="1" applyProtection="1">
      <alignment horizontal="center" vertical="center"/>
      <protection hidden="1"/>
    </xf>
    <xf numFmtId="0" fontId="10" fillId="0" borderId="8" xfId="271" applyFont="1" applyFill="1" applyBorder="1" applyAlignment="1" applyProtection="1">
      <alignment horizontal="center" vertical="center"/>
      <protection hidden="1"/>
    </xf>
    <xf numFmtId="0" fontId="10" fillId="0" borderId="12" xfId="271" applyFont="1" applyFill="1" applyBorder="1" applyAlignment="1" applyProtection="1">
      <alignment horizontal="center" vertical="center"/>
      <protection hidden="1"/>
    </xf>
    <xf numFmtId="0" fontId="10" fillId="0" borderId="11" xfId="271" applyFont="1" applyFill="1" applyBorder="1" applyAlignment="1" applyProtection="1">
      <alignment horizontal="center" vertical="center"/>
      <protection hidden="1"/>
    </xf>
    <xf numFmtId="0" fontId="10" fillId="0" borderId="6" xfId="271" applyFont="1" applyFill="1" applyBorder="1" applyAlignment="1" applyProtection="1">
      <alignment horizontal="center" vertical="center"/>
      <protection hidden="1"/>
    </xf>
    <xf numFmtId="0" fontId="10" fillId="0" borderId="0" xfId="271" applyFont="1" applyFill="1" applyBorder="1" applyAlignment="1" applyProtection="1">
      <alignment horizontal="center" vertical="center"/>
      <protection hidden="1"/>
    </xf>
    <xf numFmtId="0" fontId="10" fillId="0" borderId="14" xfId="271" applyFont="1" applyFill="1" applyBorder="1" applyAlignment="1" applyProtection="1">
      <alignment horizontal="center" vertical="center"/>
      <protection hidden="1"/>
    </xf>
    <xf numFmtId="0" fontId="9" fillId="0" borderId="3" xfId="271" applyFont="1" applyFill="1" applyBorder="1" applyAlignment="1" applyProtection="1">
      <alignment horizontal="center" vertical="center" wrapText="1"/>
      <protection hidden="1"/>
    </xf>
    <xf numFmtId="0" fontId="9" fillId="0" borderId="9" xfId="271" applyFont="1" applyFill="1" applyBorder="1" applyAlignment="1" applyProtection="1">
      <alignment horizontal="center" vertical="center" wrapText="1"/>
      <protection hidden="1"/>
    </xf>
    <xf numFmtId="2" fontId="10" fillId="0" borderId="3" xfId="271" applyNumberFormat="1" applyFont="1" applyBorder="1" applyAlignment="1" applyProtection="1">
      <alignment horizontal="center" vertical="center"/>
      <protection hidden="1"/>
    </xf>
    <xf numFmtId="2" fontId="10" fillId="0" borderId="9" xfId="271" applyNumberFormat="1" applyFont="1" applyBorder="1" applyAlignment="1" applyProtection="1">
      <alignment horizontal="center" vertical="center"/>
      <protection hidden="1"/>
    </xf>
    <xf numFmtId="0" fontId="10" fillId="0" borderId="3" xfId="271" applyFont="1" applyFill="1" applyBorder="1" applyAlignment="1" applyProtection="1">
      <alignment horizontal="center" vertical="center" wrapText="1"/>
      <protection hidden="1"/>
    </xf>
    <xf numFmtId="0" fontId="10" fillId="0" borderId="7" xfId="271" applyFont="1" applyFill="1" applyBorder="1" applyAlignment="1" applyProtection="1">
      <alignment horizontal="center" vertical="center" wrapText="1"/>
      <protection hidden="1"/>
    </xf>
    <xf numFmtId="0" fontId="10" fillId="0" borderId="9" xfId="271" applyFont="1" applyFill="1" applyBorder="1" applyAlignment="1" applyProtection="1">
      <alignment horizontal="center" vertical="center" wrapText="1"/>
      <protection hidden="1"/>
    </xf>
    <xf numFmtId="0" fontId="10" fillId="0" borderId="3" xfId="271" applyNumberFormat="1" applyFont="1" applyFill="1" applyBorder="1" applyAlignment="1" applyProtection="1">
      <alignment horizontal="center" vertical="center" wrapText="1"/>
      <protection hidden="1"/>
    </xf>
    <xf numFmtId="0" fontId="10" fillId="0" borderId="7" xfId="271" applyNumberFormat="1" applyFont="1" applyFill="1" applyBorder="1" applyAlignment="1" applyProtection="1">
      <alignment horizontal="center" vertical="center" wrapText="1"/>
      <protection hidden="1"/>
    </xf>
    <xf numFmtId="0" fontId="10" fillId="0" borderId="9" xfId="271" applyNumberFormat="1" applyFont="1" applyFill="1" applyBorder="1" applyAlignment="1" applyProtection="1">
      <alignment horizontal="center" vertical="center" wrapText="1"/>
      <protection hidden="1"/>
    </xf>
    <xf numFmtId="0" fontId="9" fillId="0" borderId="2" xfId="271" applyFont="1" applyBorder="1" applyAlignment="1" applyProtection="1">
      <alignment horizontal="center" vertical="center" wrapText="1"/>
      <protection hidden="1"/>
    </xf>
    <xf numFmtId="0" fontId="9" fillId="0" borderId="5" xfId="271" applyFont="1" applyBorder="1" applyAlignment="1" applyProtection="1">
      <alignment horizontal="center" vertical="center" wrapText="1"/>
      <protection hidden="1"/>
    </xf>
    <xf numFmtId="0" fontId="9" fillId="0" borderId="2" xfId="271" applyNumberFormat="1" applyFont="1" applyBorder="1" applyAlignment="1" applyProtection="1">
      <alignment horizontal="center" vertical="center" wrapText="1"/>
      <protection hidden="1"/>
    </xf>
    <xf numFmtId="0" fontId="9" fillId="0" borderId="5" xfId="271" applyNumberFormat="1" applyFont="1" applyBorder="1" applyAlignment="1" applyProtection="1">
      <alignment horizontal="center" vertical="center" wrapText="1"/>
      <protection hidden="1"/>
    </xf>
    <xf numFmtId="0" fontId="3" fillId="0" borderId="10" xfId="271" applyFont="1" applyFill="1" applyBorder="1" applyAlignment="1" applyProtection="1">
      <alignment horizontal="center" vertical="center"/>
      <protection hidden="1"/>
    </xf>
    <xf numFmtId="0" fontId="9" fillId="0" borderId="8" xfId="271" applyFont="1" applyBorder="1" applyAlignment="1" applyProtection="1">
      <alignment horizontal="center" vertical="center" wrapText="1"/>
      <protection hidden="1"/>
    </xf>
    <xf numFmtId="0" fontId="9" fillId="0" borderId="11" xfId="271" applyFont="1" applyBorder="1" applyAlignment="1" applyProtection="1">
      <alignment horizontal="center" vertical="center" wrapText="1"/>
      <protection hidden="1"/>
    </xf>
    <xf numFmtId="0" fontId="9" fillId="0" borderId="6" xfId="271" applyFont="1" applyBorder="1" applyAlignment="1" applyProtection="1">
      <alignment horizontal="center" vertical="center" wrapText="1"/>
      <protection hidden="1"/>
    </xf>
    <xf numFmtId="0" fontId="9" fillId="0" borderId="14" xfId="271" applyFont="1" applyBorder="1" applyAlignment="1" applyProtection="1">
      <alignment horizontal="center" vertical="center" wrapText="1"/>
      <protection hidden="1"/>
    </xf>
    <xf numFmtId="0" fontId="9" fillId="0" borderId="15" xfId="271" applyFont="1" applyBorder="1" applyAlignment="1" applyProtection="1">
      <alignment horizontal="center" vertical="center" wrapText="1"/>
      <protection hidden="1"/>
    </xf>
    <xf numFmtId="0" fontId="9" fillId="0" borderId="16" xfId="271" applyFont="1" applyBorder="1" applyAlignment="1" applyProtection="1">
      <alignment horizontal="center" vertical="center" wrapText="1"/>
      <protection hidden="1"/>
    </xf>
    <xf numFmtId="0" fontId="9" fillId="0" borderId="8" xfId="0" applyFont="1" applyFill="1" applyBorder="1" applyAlignment="1" applyProtection="1">
      <alignment horizontal="center" vertical="center" wrapText="1"/>
      <protection hidden="1"/>
    </xf>
    <xf numFmtId="0" fontId="9" fillId="0" borderId="11" xfId="0" applyFont="1" applyFill="1" applyBorder="1" applyAlignment="1" applyProtection="1">
      <alignment horizontal="center" vertical="center" wrapText="1"/>
      <protection hidden="1"/>
    </xf>
    <xf numFmtId="0" fontId="9" fillId="0" borderId="15" xfId="0" applyFont="1" applyFill="1" applyBorder="1" applyAlignment="1" applyProtection="1">
      <alignment horizontal="center" vertical="center" wrapText="1"/>
      <protection hidden="1"/>
    </xf>
    <xf numFmtId="0" fontId="9" fillId="0" borderId="16" xfId="0" applyFont="1" applyFill="1" applyBorder="1" applyAlignment="1" applyProtection="1">
      <alignment horizontal="center" vertical="center" wrapText="1"/>
      <protection hidden="1"/>
    </xf>
    <xf numFmtId="0" fontId="3" fillId="0" borderId="3" xfId="271" applyFont="1" applyFill="1" applyBorder="1" applyAlignment="1" applyProtection="1">
      <alignment horizontal="center" vertical="center"/>
      <protection hidden="1"/>
    </xf>
    <xf numFmtId="0" fontId="3" fillId="0" borderId="9" xfId="271" applyFont="1" applyFill="1" applyBorder="1" applyAlignment="1" applyProtection="1">
      <alignment horizontal="center" vertical="center"/>
      <protection hidden="1"/>
    </xf>
    <xf numFmtId="0" fontId="9" fillId="53" borderId="8" xfId="271" applyFont="1" applyFill="1" applyBorder="1" applyAlignment="1" applyProtection="1">
      <alignment horizontal="center" vertical="center" wrapText="1"/>
      <protection hidden="1"/>
    </xf>
    <xf numFmtId="0" fontId="9" fillId="53" borderId="6" xfId="271" applyFont="1" applyFill="1" applyBorder="1" applyAlignment="1" applyProtection="1">
      <alignment horizontal="center" vertical="center" wrapText="1"/>
      <protection hidden="1"/>
    </xf>
    <xf numFmtId="0" fontId="9" fillId="53" borderId="15" xfId="271" applyFont="1" applyFill="1" applyBorder="1" applyAlignment="1" applyProtection="1">
      <alignment horizontal="center" vertical="center" wrapText="1"/>
      <protection hidden="1"/>
    </xf>
    <xf numFmtId="2" fontId="10" fillId="0" borderId="10" xfId="271" applyNumberFormat="1" applyFont="1" applyBorder="1" applyAlignment="1" applyProtection="1">
      <alignment horizontal="center" vertical="center" wrapText="1"/>
      <protection hidden="1"/>
    </xf>
    <xf numFmtId="0" fontId="9" fillId="0" borderId="10" xfId="0" applyFont="1" applyBorder="1" applyAlignment="1" applyProtection="1">
      <alignment horizontal="center" vertical="center" wrapText="1"/>
      <protection hidden="1"/>
    </xf>
    <xf numFmtId="2" fontId="10" fillId="0" borderId="3" xfId="271" applyNumberFormat="1" applyFont="1" applyBorder="1" applyAlignment="1" applyProtection="1">
      <alignment horizontal="center" vertical="center" wrapText="1"/>
      <protection hidden="1"/>
    </xf>
    <xf numFmtId="2" fontId="10" fillId="0" borderId="7" xfId="271" applyNumberFormat="1" applyFont="1" applyBorder="1" applyAlignment="1" applyProtection="1">
      <alignment horizontal="center" vertical="center" wrapText="1"/>
      <protection hidden="1"/>
    </xf>
    <xf numFmtId="2" fontId="10" fillId="0" borderId="9" xfId="271" applyNumberFormat="1" applyFont="1" applyBorder="1" applyAlignment="1" applyProtection="1">
      <alignment horizontal="center" vertical="center" wrapText="1"/>
      <protection hidden="1"/>
    </xf>
    <xf numFmtId="0" fontId="10" fillId="0" borderId="3" xfId="271" applyFont="1" applyBorder="1" applyAlignment="1" applyProtection="1">
      <alignment horizontal="center" vertical="center" wrapText="1"/>
      <protection hidden="1"/>
    </xf>
    <xf numFmtId="0" fontId="10" fillId="0" borderId="7" xfId="271" applyFont="1" applyBorder="1" applyAlignment="1" applyProtection="1">
      <alignment horizontal="center" vertical="center" wrapText="1"/>
      <protection hidden="1"/>
    </xf>
    <xf numFmtId="0" fontId="10" fillId="0" borderId="9" xfId="271" applyFont="1" applyBorder="1" applyAlignment="1" applyProtection="1">
      <alignment horizontal="center" vertical="center" wrapText="1"/>
      <protection hidden="1"/>
    </xf>
    <xf numFmtId="0" fontId="3" fillId="0" borderId="10" xfId="271" applyFont="1" applyBorder="1" applyAlignment="1" applyProtection="1">
      <alignment horizontal="center" vertical="center" wrapText="1"/>
      <protection hidden="1"/>
    </xf>
    <xf numFmtId="0" fontId="7" fillId="0" borderId="2" xfId="0" applyFont="1" applyBorder="1" applyAlignment="1" applyProtection="1">
      <alignment horizontal="center" vertical="center" wrapText="1"/>
      <protection hidden="1"/>
    </xf>
    <xf numFmtId="0" fontId="7" fillId="0" borderId="5" xfId="0" applyFont="1" applyBorder="1" applyAlignment="1" applyProtection="1">
      <alignment horizontal="center" vertical="center" wrapText="1"/>
      <protection hidden="1"/>
    </xf>
    <xf numFmtId="0" fontId="9" fillId="0" borderId="6" xfId="0" applyFont="1" applyFill="1" applyBorder="1" applyAlignment="1" applyProtection="1">
      <alignment horizontal="center" vertical="center" wrapText="1"/>
      <protection hidden="1"/>
    </xf>
    <xf numFmtId="0" fontId="9" fillId="0" borderId="14" xfId="0" applyFont="1" applyFill="1" applyBorder="1" applyAlignment="1" applyProtection="1">
      <alignment horizontal="center" vertical="center" wrapText="1"/>
      <protection hidden="1"/>
    </xf>
    <xf numFmtId="3" fontId="10" fillId="0" borderId="3" xfId="271" applyNumberFormat="1" applyFont="1" applyFill="1" applyBorder="1" applyAlignment="1" applyProtection="1">
      <alignment horizontal="center" vertical="center"/>
      <protection hidden="1"/>
    </xf>
    <xf numFmtId="3" fontId="10" fillId="0" borderId="7" xfId="271" applyNumberFormat="1" applyFont="1" applyFill="1" applyBorder="1" applyAlignment="1" applyProtection="1">
      <alignment horizontal="center" vertical="center"/>
      <protection hidden="1"/>
    </xf>
    <xf numFmtId="3" fontId="10" fillId="0" borderId="9" xfId="271" applyNumberFormat="1" applyFont="1" applyFill="1" applyBorder="1" applyAlignment="1" applyProtection="1">
      <alignment horizontal="center" vertical="center"/>
      <protection hidden="1"/>
    </xf>
    <xf numFmtId="0" fontId="9" fillId="0" borderId="10" xfId="271" applyFont="1" applyFill="1" applyBorder="1" applyAlignment="1" applyProtection="1">
      <alignment horizontal="center" vertical="center" wrapText="1"/>
      <protection hidden="1"/>
    </xf>
    <xf numFmtId="0" fontId="9" fillId="0" borderId="2" xfId="271" applyFont="1" applyFill="1" applyBorder="1" applyAlignment="1" applyProtection="1">
      <alignment horizontal="center" vertical="center" wrapText="1"/>
      <protection hidden="1"/>
    </xf>
    <xf numFmtId="0" fontId="9" fillId="0" borderId="5" xfId="271" applyFont="1" applyFill="1" applyBorder="1" applyAlignment="1" applyProtection="1">
      <alignment horizontal="center" vertical="center" wrapText="1"/>
      <protection hidden="1"/>
    </xf>
    <xf numFmtId="2" fontId="10" fillId="0" borderId="10" xfId="271" applyNumberFormat="1" applyFont="1" applyFill="1" applyBorder="1" applyAlignment="1" applyProtection="1">
      <alignment horizontal="center" vertical="center"/>
      <protection hidden="1"/>
    </xf>
    <xf numFmtId="0" fontId="10" fillId="0" borderId="10" xfId="271" applyNumberFormat="1" applyFont="1" applyBorder="1" applyAlignment="1" applyProtection="1">
      <alignment horizontal="center" vertical="center" wrapText="1"/>
      <protection hidden="1"/>
    </xf>
    <xf numFmtId="1" fontId="10" fillId="0" borderId="1" xfId="376" applyNumberFormat="1" applyFont="1" applyFill="1" applyBorder="1" applyAlignment="1">
      <alignment horizontal="right" wrapText="1"/>
    </xf>
    <xf numFmtId="0" fontId="9" fillId="2" borderId="9" xfId="271" applyFont="1" applyFill="1" applyBorder="1" applyAlignment="1" applyProtection="1">
      <alignment horizontal="center" vertical="center" wrapText="1"/>
      <protection hidden="1"/>
    </xf>
    <xf numFmtId="0" fontId="7" fillId="49" borderId="3" xfId="271" applyFont="1" applyFill="1" applyBorder="1" applyAlignment="1" applyProtection="1">
      <alignment horizontal="center" vertical="center" wrapText="1"/>
      <protection hidden="1"/>
    </xf>
    <xf numFmtId="0" fontId="7" fillId="49" borderId="7" xfId="271" applyFont="1" applyFill="1" applyBorder="1" applyAlignment="1" applyProtection="1">
      <alignment horizontal="center" vertical="center" wrapText="1"/>
      <protection hidden="1"/>
    </xf>
    <xf numFmtId="0" fontId="7" fillId="49" borderId="9" xfId="271" applyFont="1" applyFill="1" applyBorder="1" applyAlignment="1" applyProtection="1">
      <alignment horizontal="center" vertical="center" wrapText="1"/>
      <protection hidden="1"/>
    </xf>
    <xf numFmtId="0" fontId="9" fillId="0" borderId="3" xfId="271" applyFont="1" applyBorder="1" applyAlignment="1" applyProtection="1">
      <alignment horizontal="center" vertical="center" wrapText="1"/>
      <protection hidden="1"/>
    </xf>
    <xf numFmtId="0" fontId="9" fillId="0" borderId="7" xfId="271" applyFont="1" applyBorder="1" applyAlignment="1" applyProtection="1">
      <alignment horizontal="center" vertical="center" wrapText="1"/>
      <protection hidden="1"/>
    </xf>
    <xf numFmtId="0" fontId="9" fillId="0" borderId="9" xfId="271" applyFont="1" applyBorder="1" applyAlignment="1" applyProtection="1">
      <alignment horizontal="center" vertical="center" wrapText="1"/>
      <protection hidden="1"/>
    </xf>
    <xf numFmtId="0" fontId="9" fillId="0" borderId="39" xfId="271" applyFont="1" applyBorder="1" applyAlignment="1" applyProtection="1">
      <alignment horizontal="center" vertical="center" wrapText="1"/>
      <protection hidden="1"/>
    </xf>
    <xf numFmtId="0" fontId="10" fillId="0" borderId="29" xfId="271" applyNumberFormat="1" applyFont="1" applyBorder="1" applyAlignment="1" applyProtection="1">
      <alignment horizontal="center" vertical="center" wrapText="1"/>
      <protection hidden="1"/>
    </xf>
    <xf numFmtId="0" fontId="9" fillId="0" borderId="63" xfId="271" applyFont="1" applyBorder="1" applyAlignment="1" applyProtection="1">
      <alignment horizontal="center" vertical="center" wrapText="1"/>
      <protection hidden="1"/>
    </xf>
    <xf numFmtId="0" fontId="10" fillId="0" borderId="13" xfId="271" applyNumberFormat="1" applyFont="1" applyBorder="1" applyAlignment="1" applyProtection="1">
      <alignment horizontal="center" vertical="center" wrapText="1"/>
      <protection hidden="1"/>
    </xf>
    <xf numFmtId="0" fontId="9" fillId="4" borderId="2" xfId="271" applyFont="1" applyFill="1" applyBorder="1" applyAlignment="1">
      <alignment horizontal="center" vertical="center" wrapText="1"/>
    </xf>
    <xf numFmtId="0" fontId="9" fillId="4" borderId="5" xfId="271" applyFont="1" applyFill="1" applyBorder="1" applyAlignment="1">
      <alignment horizontal="center" vertical="center" wrapText="1"/>
    </xf>
    <xf numFmtId="2" fontId="9" fillId="0" borderId="10" xfId="271" applyNumberFormat="1" applyFont="1" applyBorder="1" applyAlignment="1">
      <alignment horizontal="center" vertical="center" wrapText="1"/>
    </xf>
    <xf numFmtId="0" fontId="9" fillId="0" borderId="34" xfId="271" applyFont="1" applyBorder="1" applyAlignment="1">
      <alignment horizontal="center" vertical="center" wrapText="1"/>
    </xf>
    <xf numFmtId="0" fontId="10" fillId="0" borderId="10" xfId="271" applyFont="1" applyBorder="1" applyAlignment="1">
      <alignment horizontal="center" vertical="center" wrapText="1"/>
    </xf>
    <xf numFmtId="2" fontId="10" fillId="0" borderId="3" xfId="271" applyNumberFormat="1" applyFont="1" applyBorder="1" applyAlignment="1">
      <alignment horizontal="center" vertical="center" wrapText="1"/>
    </xf>
    <xf numFmtId="2" fontId="10" fillId="0" borderId="9" xfId="271" applyNumberFormat="1" applyFont="1" applyBorder="1" applyAlignment="1">
      <alignment horizontal="center" vertical="center" wrapText="1"/>
    </xf>
    <xf numFmtId="172" fontId="10" fillId="0" borderId="3" xfId="271" applyNumberFormat="1" applyFont="1" applyBorder="1" applyAlignment="1" applyProtection="1">
      <alignment horizontal="center" vertical="center" wrapText="1"/>
      <protection hidden="1"/>
    </xf>
    <xf numFmtId="172" fontId="10" fillId="0" borderId="9" xfId="271" applyNumberFormat="1" applyFont="1" applyBorder="1" applyAlignment="1" applyProtection="1">
      <alignment horizontal="center" vertical="center" wrapText="1"/>
      <protection hidden="1"/>
    </xf>
    <xf numFmtId="172" fontId="10" fillId="0" borderId="10" xfId="271" applyNumberFormat="1" applyFont="1" applyBorder="1" applyAlignment="1" applyProtection="1">
      <alignment horizontal="center" vertical="center" wrapText="1"/>
      <protection hidden="1"/>
    </xf>
    <xf numFmtId="0" fontId="9" fillId="0" borderId="13" xfId="271" applyFont="1" applyBorder="1" applyAlignment="1">
      <alignment horizontal="center" vertical="center" wrapText="1"/>
    </xf>
    <xf numFmtId="0" fontId="9" fillId="0" borderId="9" xfId="271" applyFont="1" applyFill="1" applyBorder="1" applyAlignment="1">
      <alignment horizontal="center" vertical="center" wrapText="1"/>
    </xf>
    <xf numFmtId="0" fontId="10" fillId="0" borderId="9" xfId="271" applyFont="1" applyFill="1" applyBorder="1" applyAlignment="1">
      <alignment horizontal="center" vertical="center" wrapText="1"/>
    </xf>
    <xf numFmtId="0" fontId="10" fillId="0" borderId="3" xfId="271" applyFont="1" applyFill="1" applyBorder="1" applyAlignment="1">
      <alignment horizontal="center" vertical="center" wrapText="1"/>
    </xf>
    <xf numFmtId="0" fontId="10" fillId="0" borderId="7" xfId="271" applyFont="1" applyFill="1" applyBorder="1" applyAlignment="1">
      <alignment horizontal="center" vertical="center" wrapText="1"/>
    </xf>
    <xf numFmtId="0" fontId="9" fillId="0" borderId="10" xfId="271" applyFont="1" applyFill="1" applyBorder="1" applyAlignment="1">
      <alignment horizontal="center" vertical="center" wrapText="1"/>
    </xf>
    <xf numFmtId="0" fontId="9" fillId="0" borderId="10" xfId="271" applyFont="1" applyBorder="1" applyAlignment="1">
      <alignment horizontal="center" vertical="center" wrapText="1"/>
    </xf>
    <xf numFmtId="1" fontId="10" fillId="0" borderId="10" xfId="271" applyNumberFormat="1" applyFont="1" applyBorder="1" applyAlignment="1" applyProtection="1">
      <alignment horizontal="center" vertical="center" wrapText="1"/>
      <protection hidden="1"/>
    </xf>
    <xf numFmtId="1" fontId="10" fillId="0" borderId="34" xfId="271" applyNumberFormat="1" applyFont="1" applyBorder="1" applyAlignment="1" applyProtection="1">
      <alignment horizontal="center" vertical="center" wrapText="1"/>
      <protection hidden="1"/>
    </xf>
    <xf numFmtId="1" fontId="10" fillId="0" borderId="13" xfId="271" applyNumberFormat="1" applyFont="1" applyBorder="1" applyAlignment="1" applyProtection="1">
      <alignment horizontal="center" vertical="center" wrapText="1"/>
      <protection hidden="1"/>
    </xf>
    <xf numFmtId="2" fontId="10" fillId="0" borderId="10" xfId="271" applyNumberFormat="1" applyFont="1" applyBorder="1" applyAlignment="1">
      <alignment horizontal="center" vertical="center" wrapText="1"/>
    </xf>
    <xf numFmtId="1" fontId="10" fillId="0" borderId="34" xfId="271" applyNumberFormat="1" applyFont="1" applyFill="1" applyBorder="1" applyAlignment="1" applyProtection="1">
      <alignment horizontal="center" vertical="center" wrapText="1"/>
      <protection hidden="1"/>
    </xf>
    <xf numFmtId="1" fontId="10" fillId="0" borderId="13" xfId="271" applyNumberFormat="1" applyFont="1" applyFill="1" applyBorder="1" applyAlignment="1" applyProtection="1">
      <alignment horizontal="center" vertical="center" wrapText="1"/>
      <protection hidden="1"/>
    </xf>
    <xf numFmtId="1" fontId="10" fillId="0" borderId="26" xfId="271" applyNumberFormat="1" applyFont="1" applyFill="1" applyBorder="1" applyAlignment="1" applyProtection="1">
      <alignment horizontal="center" vertical="center" wrapText="1"/>
      <protection hidden="1"/>
    </xf>
    <xf numFmtId="1" fontId="10" fillId="0" borderId="27" xfId="271" applyNumberFormat="1" applyFont="1" applyFill="1" applyBorder="1" applyAlignment="1" applyProtection="1">
      <alignment horizontal="center" vertical="center" wrapText="1"/>
      <protection hidden="1"/>
    </xf>
    <xf numFmtId="1" fontId="10" fillId="0" borderId="28" xfId="271" applyNumberFormat="1" applyFont="1" applyFill="1" applyBorder="1" applyAlignment="1" applyProtection="1">
      <alignment horizontal="center" vertical="center" wrapText="1"/>
      <protection hidden="1"/>
    </xf>
    <xf numFmtId="1" fontId="10" fillId="0" borderId="35" xfId="271" applyNumberFormat="1" applyFont="1" applyFill="1" applyBorder="1" applyAlignment="1" applyProtection="1">
      <alignment horizontal="center" vertical="center" wrapText="1"/>
      <protection hidden="1"/>
    </xf>
    <xf numFmtId="1" fontId="10" fillId="0" borderId="40" xfId="271" applyNumberFormat="1" applyFont="1" applyFill="1" applyBorder="1" applyAlignment="1" applyProtection="1">
      <alignment horizontal="center" vertical="center" wrapText="1"/>
      <protection hidden="1"/>
    </xf>
    <xf numFmtId="1" fontId="10" fillId="0" borderId="41" xfId="271" applyNumberFormat="1" applyFont="1" applyFill="1" applyBorder="1" applyAlignment="1" applyProtection="1">
      <alignment horizontal="center" vertical="center" wrapText="1"/>
      <protection hidden="1"/>
    </xf>
    <xf numFmtId="1" fontId="10" fillId="0" borderId="10" xfId="271" applyNumberFormat="1" applyFont="1" applyFill="1" applyBorder="1" applyAlignment="1" applyProtection="1">
      <alignment horizontal="center" vertical="center" wrapText="1"/>
      <protection hidden="1"/>
    </xf>
    <xf numFmtId="0" fontId="10" fillId="0" borderId="3" xfId="271" applyFont="1" applyBorder="1" applyAlignment="1">
      <alignment horizontal="center" vertical="center" wrapText="1"/>
    </xf>
    <xf numFmtId="0" fontId="10" fillId="0" borderId="9" xfId="271" applyFont="1" applyBorder="1" applyAlignment="1">
      <alignment horizontal="center" vertical="center" wrapText="1"/>
    </xf>
    <xf numFmtId="172" fontId="10" fillId="0" borderId="7" xfId="271" applyNumberFormat="1" applyFont="1" applyBorder="1" applyAlignment="1" applyProtection="1">
      <alignment horizontal="center" vertical="center" wrapText="1"/>
      <protection hidden="1"/>
    </xf>
    <xf numFmtId="2" fontId="10" fillId="0" borderId="34" xfId="271" applyNumberFormat="1" applyFont="1" applyBorder="1" applyAlignment="1">
      <alignment horizontal="center" vertical="center" wrapText="1"/>
    </xf>
    <xf numFmtId="2" fontId="10" fillId="0" borderId="13" xfId="271" applyNumberFormat="1" applyFont="1" applyBorder="1" applyAlignment="1">
      <alignment horizontal="center" vertical="center" wrapText="1"/>
    </xf>
    <xf numFmtId="172" fontId="10" fillId="0" borderId="34" xfId="271" applyNumberFormat="1" applyFont="1" applyBorder="1" applyAlignment="1" applyProtection="1">
      <alignment horizontal="center" vertical="center" wrapText="1"/>
      <protection hidden="1"/>
    </xf>
    <xf numFmtId="172" fontId="10" fillId="0" borderId="13" xfId="271" applyNumberFormat="1" applyFont="1" applyBorder="1" applyAlignment="1" applyProtection="1">
      <alignment horizontal="center" vertical="center" wrapText="1"/>
      <protection hidden="1"/>
    </xf>
    <xf numFmtId="1" fontId="10" fillId="0" borderId="3" xfId="271" applyNumberFormat="1" applyFont="1" applyFill="1" applyBorder="1" applyAlignment="1" applyProtection="1">
      <alignment horizontal="center" vertical="center" wrapText="1"/>
      <protection hidden="1"/>
    </xf>
    <xf numFmtId="1" fontId="10" fillId="0" borderId="66" xfId="271" applyNumberFormat="1" applyFont="1" applyBorder="1" applyAlignment="1">
      <alignment horizontal="center" vertical="center" wrapText="1"/>
    </xf>
    <xf numFmtId="1" fontId="10" fillId="0" borderId="40" xfId="271" applyNumberFormat="1" applyFont="1" applyBorder="1" applyAlignment="1">
      <alignment horizontal="center" vertical="center" wrapText="1"/>
    </xf>
    <xf numFmtId="1" fontId="10" fillId="0" borderId="41" xfId="271" applyNumberFormat="1" applyFont="1" applyBorder="1" applyAlignment="1">
      <alignment horizontal="center" vertical="center" wrapText="1"/>
    </xf>
    <xf numFmtId="0" fontId="10" fillId="0" borderId="2" xfId="271" applyFont="1" applyBorder="1" applyAlignment="1">
      <alignment horizontal="left" vertical="center" wrapText="1"/>
    </xf>
    <xf numFmtId="0" fontId="10" fillId="0" borderId="4" xfId="271" applyFont="1" applyBorder="1" applyAlignment="1">
      <alignment horizontal="left" vertical="center" wrapText="1"/>
    </xf>
    <xf numFmtId="0" fontId="10" fillId="0" borderId="5" xfId="271" applyFont="1" applyBorder="1" applyAlignment="1">
      <alignment horizontal="left" vertical="center" wrapText="1"/>
    </xf>
    <xf numFmtId="1" fontId="10" fillId="0" borderId="2" xfId="271" applyNumberFormat="1" applyFont="1" applyBorder="1" applyAlignment="1">
      <alignment horizontal="center" vertical="center" wrapText="1"/>
    </xf>
    <xf numFmtId="1" fontId="10" fillId="0" borderId="4" xfId="271" applyNumberFormat="1" applyFont="1" applyBorder="1" applyAlignment="1">
      <alignment horizontal="center" vertical="center" wrapText="1"/>
    </xf>
    <xf numFmtId="1" fontId="10" fillId="0" borderId="69" xfId="271" applyNumberFormat="1" applyFont="1" applyBorder="1" applyAlignment="1">
      <alignment horizontal="center" vertical="center" wrapText="1"/>
    </xf>
    <xf numFmtId="1" fontId="10" fillId="0" borderId="5" xfId="271" applyNumberFormat="1" applyFont="1" applyBorder="1" applyAlignment="1">
      <alignment horizontal="center" vertical="center" wrapText="1"/>
    </xf>
    <xf numFmtId="0" fontId="11" fillId="0" borderId="4" xfId="374" applyFont="1" applyBorder="1" applyAlignment="1" applyProtection="1">
      <alignment horizontal="center" vertical="top"/>
      <protection hidden="1"/>
    </xf>
    <xf numFmtId="0" fontId="9" fillId="2" borderId="10" xfId="271" applyFont="1" applyFill="1" applyBorder="1" applyAlignment="1">
      <alignment horizontal="center" vertical="center" wrapText="1"/>
    </xf>
    <xf numFmtId="0" fontId="10" fillId="3" borderId="8" xfId="271" applyFont="1" applyFill="1" applyBorder="1" applyAlignment="1">
      <alignment horizontal="center"/>
    </xf>
    <xf numFmtId="0" fontId="10" fillId="3" borderId="12" xfId="271" applyFont="1" applyFill="1" applyBorder="1" applyAlignment="1">
      <alignment horizontal="center"/>
    </xf>
    <xf numFmtId="0" fontId="10" fillId="3" borderId="11" xfId="271" applyFont="1" applyFill="1" applyBorder="1" applyAlignment="1">
      <alignment horizontal="center"/>
    </xf>
    <xf numFmtId="0" fontId="10" fillId="3" borderId="15" xfId="271" applyFont="1" applyFill="1" applyBorder="1" applyAlignment="1">
      <alignment horizontal="center"/>
    </xf>
    <xf numFmtId="0" fontId="10" fillId="3" borderId="1" xfId="271" applyFont="1" applyFill="1" applyBorder="1" applyAlignment="1">
      <alignment horizontal="center"/>
    </xf>
    <xf numFmtId="0" fontId="10" fillId="3" borderId="16" xfId="271" applyFont="1" applyFill="1" applyBorder="1" applyAlignment="1">
      <alignment horizontal="center"/>
    </xf>
    <xf numFmtId="0" fontId="9" fillId="3" borderId="27" xfId="271" applyFont="1" applyFill="1" applyBorder="1" applyAlignment="1">
      <alignment horizontal="center" vertical="center" wrapText="1"/>
    </xf>
    <xf numFmtId="0" fontId="9" fillId="3" borderId="28" xfId="271" applyFont="1" applyFill="1" applyBorder="1" applyAlignment="1">
      <alignment horizontal="center" vertical="center" wrapText="1"/>
    </xf>
    <xf numFmtId="0" fontId="9" fillId="3" borderId="40" xfId="271" applyFont="1" applyFill="1" applyBorder="1" applyAlignment="1">
      <alignment horizontal="center" vertical="center" wrapText="1"/>
    </xf>
    <xf numFmtId="0" fontId="9" fillId="3" borderId="67" xfId="271" applyFont="1" applyFill="1" applyBorder="1" applyAlignment="1">
      <alignment horizontal="center" vertical="center" wrapText="1"/>
    </xf>
    <xf numFmtId="0" fontId="9" fillId="3" borderId="66" xfId="271" applyFont="1" applyFill="1" applyBorder="1" applyAlignment="1">
      <alignment horizontal="center" vertical="center" wrapText="1"/>
    </xf>
    <xf numFmtId="0" fontId="9" fillId="3" borderId="41" xfId="271" applyFont="1" applyFill="1" applyBorder="1" applyAlignment="1">
      <alignment horizontal="center" vertical="center" wrapText="1"/>
    </xf>
    <xf numFmtId="2" fontId="9" fillId="0" borderId="2" xfId="271" applyNumberFormat="1" applyFont="1" applyBorder="1" applyAlignment="1">
      <alignment horizontal="center" vertical="center" wrapText="1"/>
    </xf>
    <xf numFmtId="0" fontId="10" fillId="0" borderId="8" xfId="271" applyFont="1" applyBorder="1" applyAlignment="1">
      <alignment horizontal="left" vertical="center" wrapText="1"/>
    </xf>
    <xf numFmtId="0" fontId="10" fillId="0" borderId="12" xfId="271" applyFont="1" applyBorder="1" applyAlignment="1">
      <alignment horizontal="left" vertical="center" wrapText="1"/>
    </xf>
    <xf numFmtId="0" fontId="10" fillId="0" borderId="11" xfId="271" applyFont="1" applyBorder="1" applyAlignment="1">
      <alignment horizontal="left" vertical="center" wrapText="1"/>
    </xf>
    <xf numFmtId="0" fontId="10" fillId="0" borderId="15" xfId="271" applyFont="1" applyBorder="1" applyAlignment="1">
      <alignment horizontal="left" vertical="center" wrapText="1"/>
    </xf>
    <xf numFmtId="0" fontId="10" fillId="0" borderId="1" xfId="271" applyFont="1" applyBorder="1" applyAlignment="1">
      <alignment horizontal="left" vertical="center" wrapText="1"/>
    </xf>
    <xf numFmtId="0" fontId="10" fillId="0" borderId="16" xfId="271" applyFont="1" applyBorder="1" applyAlignment="1">
      <alignment horizontal="left" vertical="center" wrapText="1"/>
    </xf>
    <xf numFmtId="1" fontId="10" fillId="0" borderId="26" xfId="271" applyNumberFormat="1" applyFont="1" applyFill="1" applyBorder="1" applyAlignment="1">
      <alignment horizontal="center" vertical="center" wrapText="1"/>
    </xf>
    <xf numFmtId="1" fontId="10" fillId="0" borderId="27" xfId="271" applyNumberFormat="1" applyFont="1" applyFill="1" applyBorder="1" applyAlignment="1">
      <alignment horizontal="center" vertical="center" wrapText="1"/>
    </xf>
    <xf numFmtId="1" fontId="10" fillId="0" borderId="68" xfId="271" applyNumberFormat="1" applyFont="1" applyBorder="1" applyAlignment="1">
      <alignment horizontal="center" vertical="center" wrapText="1"/>
    </xf>
    <xf numFmtId="1" fontId="10" fillId="0" borderId="27" xfId="271" applyNumberFormat="1" applyFont="1" applyBorder="1" applyAlignment="1">
      <alignment horizontal="center" vertical="center" wrapText="1"/>
    </xf>
    <xf numFmtId="1" fontId="10" fillId="0" borderId="28" xfId="271" applyNumberFormat="1" applyFont="1" applyBorder="1" applyAlignment="1">
      <alignment horizontal="center" vertical="center" wrapText="1"/>
    </xf>
    <xf numFmtId="1" fontId="10" fillId="0" borderId="35" xfId="271" applyNumberFormat="1" applyFont="1" applyBorder="1" applyAlignment="1">
      <alignment horizontal="center" vertical="center" wrapText="1"/>
    </xf>
    <xf numFmtId="0" fontId="9" fillId="0" borderId="9" xfId="271" applyFont="1" applyBorder="1" applyAlignment="1">
      <alignment horizontal="center" vertical="center" wrapText="1"/>
    </xf>
    <xf numFmtId="1" fontId="10" fillId="0" borderId="68" xfId="271" applyNumberFormat="1" applyFont="1" applyFill="1" applyBorder="1" applyAlignment="1">
      <alignment horizontal="center" vertical="center" wrapText="1"/>
    </xf>
    <xf numFmtId="1" fontId="10" fillId="0" borderId="28" xfId="271" applyNumberFormat="1" applyFont="1" applyFill="1" applyBorder="1" applyAlignment="1">
      <alignment horizontal="center" vertical="center" wrapText="1"/>
    </xf>
    <xf numFmtId="1" fontId="10" fillId="0" borderId="35" xfId="271" applyNumberFormat="1" applyFont="1" applyFill="1" applyBorder="1" applyAlignment="1">
      <alignment horizontal="center" vertical="center" wrapText="1"/>
    </xf>
    <xf numFmtId="1" fontId="10" fillId="0" borderId="40" xfId="271" applyNumberFormat="1" applyFont="1" applyFill="1" applyBorder="1" applyAlignment="1">
      <alignment horizontal="center" vertical="center" wrapText="1"/>
    </xf>
    <xf numFmtId="1" fontId="10" fillId="0" borderId="66" xfId="271" applyNumberFormat="1" applyFont="1" applyFill="1" applyBorder="1" applyAlignment="1">
      <alignment horizontal="center" vertical="center" wrapText="1"/>
    </xf>
    <xf numFmtId="1" fontId="10" fillId="0" borderId="41" xfId="271" applyNumberFormat="1" applyFont="1" applyFill="1" applyBorder="1" applyAlignment="1">
      <alignment horizontal="center" vertical="center" wrapText="1"/>
    </xf>
    <xf numFmtId="0" fontId="9" fillId="3" borderId="65" xfId="271" applyFont="1" applyFill="1" applyBorder="1" applyAlignment="1">
      <alignment horizontal="center" vertical="center" wrapText="1"/>
    </xf>
    <xf numFmtId="0" fontId="9" fillId="3" borderId="33" xfId="271" applyFont="1" applyFill="1" applyBorder="1" applyAlignment="1">
      <alignment horizontal="center" vertical="center" wrapText="1"/>
    </xf>
    <xf numFmtId="1" fontId="10" fillId="0" borderId="67" xfId="271" applyNumberFormat="1" applyFont="1" applyFill="1" applyBorder="1" applyAlignment="1">
      <alignment horizontal="center" vertical="center" wrapText="1"/>
    </xf>
    <xf numFmtId="0" fontId="10" fillId="3" borderId="0" xfId="271" applyFont="1" applyFill="1" applyBorder="1" applyAlignment="1">
      <alignment horizontal="center"/>
    </xf>
    <xf numFmtId="0" fontId="10" fillId="3" borderId="14" xfId="271" applyFont="1" applyFill="1" applyBorder="1" applyAlignment="1">
      <alignment horizontal="center"/>
    </xf>
    <xf numFmtId="2" fontId="9" fillId="0" borderId="10" xfId="271" applyNumberFormat="1" applyFont="1" applyFill="1" applyBorder="1" applyAlignment="1">
      <alignment horizontal="center" vertical="center" wrapText="1"/>
    </xf>
    <xf numFmtId="0" fontId="10" fillId="0" borderId="10" xfId="271" applyFont="1" applyBorder="1" applyAlignment="1">
      <alignment horizontal="left" vertical="center" wrapText="1"/>
    </xf>
    <xf numFmtId="0" fontId="9" fillId="3" borderId="55" xfId="271" applyFont="1" applyFill="1" applyBorder="1" applyAlignment="1">
      <alignment horizontal="center" vertical="center" wrapText="1"/>
    </xf>
    <xf numFmtId="0" fontId="9" fillId="3" borderId="56" xfId="271" applyFont="1" applyFill="1" applyBorder="1" applyAlignment="1">
      <alignment horizontal="center" vertical="center" wrapText="1"/>
    </xf>
    <xf numFmtId="0" fontId="9" fillId="3" borderId="57" xfId="271" applyFont="1" applyFill="1" applyBorder="1" applyAlignment="1">
      <alignment horizontal="center" vertical="center" wrapText="1"/>
    </xf>
    <xf numFmtId="0" fontId="9" fillId="3" borderId="53" xfId="271" applyFont="1" applyFill="1" applyBorder="1" applyAlignment="1">
      <alignment horizontal="center" vertical="center" wrapText="1"/>
    </xf>
    <xf numFmtId="0" fontId="9" fillId="3" borderId="58" xfId="271" applyFont="1" applyFill="1" applyBorder="1" applyAlignment="1">
      <alignment horizontal="center" vertical="center" wrapText="1"/>
    </xf>
    <xf numFmtId="0" fontId="9" fillId="3" borderId="54" xfId="271" applyFont="1" applyFill="1" applyBorder="1" applyAlignment="1">
      <alignment horizontal="center" vertical="center" wrapText="1"/>
    </xf>
    <xf numFmtId="0" fontId="9" fillId="3" borderId="32" xfId="271" applyFont="1" applyFill="1" applyBorder="1" applyAlignment="1">
      <alignment horizontal="center" vertical="center" wrapText="1"/>
    </xf>
    <xf numFmtId="0" fontId="9" fillId="3" borderId="64" xfId="271" applyFont="1" applyFill="1" applyBorder="1" applyAlignment="1">
      <alignment horizontal="center" vertical="center" wrapText="1"/>
    </xf>
    <xf numFmtId="0" fontId="38" fillId="0" borderId="0" xfId="374" applyFont="1" applyBorder="1" applyAlignment="1" applyProtection="1">
      <alignment horizontal="center" vertical="top"/>
      <protection hidden="1"/>
    </xf>
    <xf numFmtId="1" fontId="10" fillId="0" borderId="1" xfId="377" applyNumberFormat="1" applyFont="1" applyFill="1" applyBorder="1" applyAlignment="1">
      <alignment horizontal="right" vertical="center" wrapText="1"/>
    </xf>
    <xf numFmtId="14" fontId="10" fillId="0" borderId="1" xfId="271" applyNumberFormat="1" applyFont="1" applyBorder="1" applyAlignment="1">
      <alignment horizontal="center"/>
    </xf>
    <xf numFmtId="0" fontId="9" fillId="2" borderId="9" xfId="271" applyFont="1" applyFill="1" applyBorder="1" applyAlignment="1">
      <alignment horizontal="center" vertical="center" wrapText="1"/>
    </xf>
    <xf numFmtId="0" fontId="8" fillId="0" borderId="10" xfId="294" applyFont="1" applyBorder="1" applyAlignment="1" applyProtection="1">
      <alignment horizontal="center" vertical="center" wrapText="1"/>
      <protection hidden="1"/>
    </xf>
    <xf numFmtId="0" fontId="146" fillId="4" borderId="10" xfId="298" applyFont="1" applyFill="1" applyBorder="1" applyAlignment="1">
      <alignment horizontal="center" vertical="center" wrapText="1"/>
    </xf>
    <xf numFmtId="0" fontId="146" fillId="4" borderId="10" xfId="298" applyFont="1" applyFill="1" applyBorder="1" applyAlignment="1">
      <alignment horizontal="center" vertical="center"/>
    </xf>
    <xf numFmtId="0" fontId="8" fillId="0" borderId="3" xfId="298" applyFont="1" applyBorder="1" applyAlignment="1" applyProtection="1">
      <alignment horizontal="center" vertical="center" wrapText="1"/>
      <protection hidden="1"/>
    </xf>
    <xf numFmtId="0" fontId="8" fillId="0" borderId="7" xfId="298" applyFont="1" applyBorder="1" applyAlignment="1" applyProtection="1">
      <alignment horizontal="center" vertical="center" wrapText="1"/>
      <protection hidden="1"/>
    </xf>
    <xf numFmtId="0" fontId="8" fillId="0" borderId="9" xfId="298" applyFont="1" applyBorder="1" applyAlignment="1" applyProtection="1">
      <alignment horizontal="center" vertical="center" wrapText="1"/>
      <protection hidden="1"/>
    </xf>
    <xf numFmtId="0" fontId="8" fillId="0" borderId="10" xfId="298" applyFont="1" applyBorder="1" applyAlignment="1" applyProtection="1">
      <alignment horizontal="center" vertical="center" wrapText="1"/>
      <protection hidden="1"/>
    </xf>
    <xf numFmtId="0" fontId="17" fillId="0" borderId="0" xfId="298" applyBorder="1" applyAlignment="1">
      <alignment horizontal="center"/>
    </xf>
    <xf numFmtId="0" fontId="17" fillId="0" borderId="90" xfId="298" applyBorder="1" applyAlignment="1">
      <alignment horizontal="center"/>
    </xf>
    <xf numFmtId="0" fontId="12" fillId="2" borderId="8" xfId="298" applyFont="1" applyFill="1" applyBorder="1" applyAlignment="1" applyProtection="1">
      <alignment horizontal="center" vertical="center" wrapText="1"/>
      <protection hidden="1"/>
    </xf>
    <xf numFmtId="0" fontId="12" fillId="2" borderId="12" xfId="298" applyFont="1" applyFill="1" applyBorder="1" applyAlignment="1" applyProtection="1">
      <alignment horizontal="center" vertical="center" wrapText="1"/>
      <protection hidden="1"/>
    </xf>
    <xf numFmtId="0" fontId="12" fillId="2" borderId="11" xfId="298" applyFont="1" applyFill="1" applyBorder="1" applyAlignment="1" applyProtection="1">
      <alignment horizontal="center" vertical="center" wrapText="1"/>
      <protection hidden="1"/>
    </xf>
    <xf numFmtId="0" fontId="12" fillId="2" borderId="6" xfId="298" applyFont="1" applyFill="1" applyBorder="1" applyAlignment="1" applyProtection="1">
      <alignment horizontal="center" vertical="center" wrapText="1"/>
      <protection hidden="1"/>
    </xf>
    <xf numFmtId="0" fontId="12" fillId="2" borderId="0" xfId="298" applyFont="1" applyFill="1" applyBorder="1" applyAlignment="1" applyProtection="1">
      <alignment horizontal="center" vertical="center" wrapText="1"/>
      <protection hidden="1"/>
    </xf>
    <xf numFmtId="0" fontId="12" fillId="2" borderId="14" xfId="298" applyFont="1" applyFill="1" applyBorder="1" applyAlignment="1" applyProtection="1">
      <alignment horizontal="center" vertical="center" wrapText="1"/>
      <protection hidden="1"/>
    </xf>
    <xf numFmtId="0" fontId="12" fillId="2" borderId="15" xfId="298" applyFont="1" applyFill="1" applyBorder="1" applyAlignment="1" applyProtection="1">
      <alignment horizontal="center" vertical="center" wrapText="1"/>
      <protection hidden="1"/>
    </xf>
    <xf numFmtId="0" fontId="12" fillId="2" borderId="1" xfId="298" applyFont="1" applyFill="1" applyBorder="1" applyAlignment="1" applyProtection="1">
      <alignment horizontal="center" vertical="center" wrapText="1"/>
      <protection hidden="1"/>
    </xf>
    <xf numFmtId="0" fontId="12" fillId="2" borderId="16" xfId="298" applyFont="1" applyFill="1" applyBorder="1" applyAlignment="1" applyProtection="1">
      <alignment horizontal="center" vertical="center" wrapText="1"/>
      <protection hidden="1"/>
    </xf>
    <xf numFmtId="0" fontId="12" fillId="0" borderId="2" xfId="294" applyFont="1" applyBorder="1" applyAlignment="1" applyProtection="1">
      <alignment horizontal="center" vertical="center" wrapText="1"/>
      <protection hidden="1"/>
    </xf>
    <xf numFmtId="0" fontId="12" fillId="0" borderId="4" xfId="294" applyFont="1" applyBorder="1" applyAlignment="1" applyProtection="1">
      <alignment horizontal="center" vertical="center" wrapText="1"/>
      <protection hidden="1"/>
    </xf>
    <xf numFmtId="0" fontId="12" fillId="0" borderId="5" xfId="294" applyFont="1" applyBorder="1" applyAlignment="1" applyProtection="1">
      <alignment horizontal="center" vertical="center" wrapText="1"/>
      <protection hidden="1"/>
    </xf>
    <xf numFmtId="2" fontId="8" fillId="0" borderId="2" xfId="298" applyNumberFormat="1" applyFont="1" applyBorder="1" applyAlignment="1" applyProtection="1">
      <alignment horizontal="center" vertical="center"/>
      <protection hidden="1"/>
    </xf>
    <xf numFmtId="2" fontId="8" fillId="0" borderId="4" xfId="298" applyNumberFormat="1" applyFont="1" applyBorder="1" applyAlignment="1" applyProtection="1">
      <alignment horizontal="center" vertical="center"/>
      <protection hidden="1"/>
    </xf>
    <xf numFmtId="2" fontId="8" fillId="0" borderId="5" xfId="298" applyNumberFormat="1" applyFont="1" applyBorder="1" applyAlignment="1" applyProtection="1">
      <alignment horizontal="center" vertical="center"/>
      <protection hidden="1"/>
    </xf>
    <xf numFmtId="0" fontId="12" fillId="2" borderId="10" xfId="298" applyFont="1" applyFill="1" applyBorder="1" applyAlignment="1" applyProtection="1">
      <alignment horizontal="center" vertical="center" wrapText="1"/>
      <protection hidden="1"/>
    </xf>
    <xf numFmtId="3" fontId="8" fillId="0" borderId="2" xfId="298" applyNumberFormat="1" applyFont="1" applyFill="1" applyBorder="1" applyAlignment="1" applyProtection="1">
      <alignment horizontal="center" vertical="center"/>
      <protection hidden="1"/>
    </xf>
    <xf numFmtId="3" fontId="8" fillId="0" borderId="4" xfId="298" applyNumberFormat="1" applyFont="1" applyFill="1" applyBorder="1" applyAlignment="1" applyProtection="1">
      <alignment horizontal="center" vertical="center"/>
      <protection hidden="1"/>
    </xf>
    <xf numFmtId="3" fontId="8" fillId="0" borderId="5" xfId="298" applyNumberFormat="1" applyFont="1" applyFill="1" applyBorder="1" applyAlignment="1" applyProtection="1">
      <alignment horizontal="center" vertical="center"/>
      <protection hidden="1"/>
    </xf>
    <xf numFmtId="0" fontId="4" fillId="0" borderId="0" xfId="374" applyFont="1" applyBorder="1" applyAlignment="1" applyProtection="1">
      <alignment horizontal="center" vertical="top"/>
      <protection hidden="1"/>
    </xf>
    <xf numFmtId="0" fontId="12" fillId="2" borderId="9" xfId="298" applyFont="1" applyFill="1" applyBorder="1" applyAlignment="1" applyProtection="1">
      <alignment horizontal="center" vertical="center" wrapText="1"/>
      <protection hidden="1"/>
    </xf>
    <xf numFmtId="3" fontId="12" fillId="2" borderId="10" xfId="298" applyNumberFormat="1" applyFont="1" applyFill="1" applyBorder="1" applyAlignment="1" applyProtection="1">
      <alignment horizontal="center" vertical="center" wrapText="1"/>
      <protection hidden="1"/>
    </xf>
    <xf numFmtId="172" fontId="8" fillId="0" borderId="2" xfId="298" applyNumberFormat="1" applyFont="1" applyBorder="1" applyAlignment="1" applyProtection="1">
      <alignment horizontal="center" vertical="center"/>
      <protection hidden="1"/>
    </xf>
    <xf numFmtId="172" fontId="8" fillId="0" borderId="5" xfId="298" applyNumberFormat="1" applyFont="1" applyBorder="1" applyAlignment="1" applyProtection="1">
      <alignment horizontal="center" vertical="center"/>
      <protection hidden="1"/>
    </xf>
    <xf numFmtId="0" fontId="12" fillId="0" borderId="10" xfId="298" applyFont="1" applyFill="1" applyBorder="1" applyAlignment="1" applyProtection="1">
      <alignment horizontal="center" vertical="center" wrapText="1"/>
      <protection hidden="1"/>
    </xf>
    <xf numFmtId="0" fontId="8" fillId="0" borderId="2" xfId="298" applyFont="1" applyFill="1" applyBorder="1" applyAlignment="1" applyProtection="1">
      <alignment horizontal="center" vertical="center" wrapText="1"/>
      <protection hidden="1"/>
    </xf>
    <xf numFmtId="0" fontId="8" fillId="0" borderId="4" xfId="298" applyFont="1" applyFill="1" applyBorder="1" applyAlignment="1" applyProtection="1">
      <alignment horizontal="center" vertical="center" wrapText="1"/>
      <protection hidden="1"/>
    </xf>
    <xf numFmtId="3" fontId="8" fillId="0" borderId="4" xfId="298" applyNumberFormat="1" applyFont="1" applyFill="1" applyBorder="1" applyAlignment="1" applyProtection="1">
      <alignment horizontal="center" vertical="center" wrapText="1"/>
      <protection hidden="1"/>
    </xf>
    <xf numFmtId="0" fontId="12" fillId="0" borderId="10" xfId="294" applyFont="1" applyBorder="1" applyAlignment="1" applyProtection="1">
      <alignment horizontal="center" vertical="center" wrapText="1"/>
      <protection hidden="1"/>
    </xf>
    <xf numFmtId="3" fontId="12" fillId="2" borderId="2" xfId="298" applyNumberFormat="1" applyFont="1" applyFill="1" applyBorder="1" applyAlignment="1" applyProtection="1">
      <alignment horizontal="center" vertical="center" wrapText="1"/>
      <protection hidden="1"/>
    </xf>
    <xf numFmtId="3" fontId="12" fillId="2" borderId="4" xfId="298" applyNumberFormat="1" applyFont="1" applyFill="1" applyBorder="1" applyAlignment="1" applyProtection="1">
      <alignment horizontal="center" vertical="center" wrapText="1"/>
      <protection hidden="1"/>
    </xf>
    <xf numFmtId="3" fontId="12" fillId="2" borderId="5" xfId="298" applyNumberFormat="1" applyFont="1" applyFill="1" applyBorder="1" applyAlignment="1" applyProtection="1">
      <alignment horizontal="center" vertical="center" wrapText="1"/>
      <protection hidden="1"/>
    </xf>
    <xf numFmtId="0" fontId="8" fillId="0" borderId="10" xfId="298" applyFont="1" applyFill="1" applyBorder="1" applyAlignment="1" applyProtection="1">
      <alignment horizontal="center" vertical="center" wrapText="1"/>
      <protection hidden="1"/>
    </xf>
    <xf numFmtId="0" fontId="8" fillId="0" borderId="10" xfId="294" applyFont="1" applyFill="1" applyBorder="1" applyAlignment="1" applyProtection="1">
      <alignment horizontal="center" vertical="center" wrapText="1"/>
      <protection hidden="1"/>
    </xf>
    <xf numFmtId="0" fontId="8" fillId="0" borderId="8" xfId="294" applyFont="1" applyBorder="1" applyAlignment="1" applyProtection="1">
      <alignment horizontal="center" vertical="center" wrapText="1"/>
      <protection hidden="1"/>
    </xf>
    <xf numFmtId="0" fontId="8" fillId="0" borderId="6" xfId="294" applyFont="1" applyBorder="1" applyAlignment="1" applyProtection="1">
      <alignment horizontal="center" vertical="center" wrapText="1"/>
      <protection hidden="1"/>
    </xf>
    <xf numFmtId="0" fontId="8" fillId="0" borderId="15" xfId="294" applyFont="1" applyBorder="1" applyAlignment="1" applyProtection="1">
      <alignment horizontal="center" vertical="center" wrapText="1"/>
      <protection hidden="1"/>
    </xf>
    <xf numFmtId="0" fontId="8" fillId="0" borderId="10" xfId="298" applyFont="1" applyBorder="1" applyAlignment="1" applyProtection="1">
      <alignment horizontal="center" vertical="center"/>
      <protection hidden="1"/>
    </xf>
    <xf numFmtId="0" fontId="12" fillId="2" borderId="3" xfId="298" applyFont="1" applyFill="1" applyBorder="1" applyAlignment="1" applyProtection="1">
      <alignment horizontal="center" vertical="center" wrapText="1"/>
      <protection hidden="1"/>
    </xf>
    <xf numFmtId="0" fontId="12" fillId="2" borderId="7" xfId="298" applyFont="1" applyFill="1" applyBorder="1" applyAlignment="1" applyProtection="1">
      <alignment horizontal="center" vertical="center" wrapText="1"/>
      <protection hidden="1"/>
    </xf>
    <xf numFmtId="0" fontId="12" fillId="2" borderId="10" xfId="294" applyFont="1" applyFill="1" applyBorder="1" applyAlignment="1" applyProtection="1">
      <alignment horizontal="center" vertical="center" wrapText="1"/>
      <protection hidden="1"/>
    </xf>
    <xf numFmtId="0" fontId="12" fillId="2" borderId="3" xfId="294" applyFont="1" applyFill="1" applyBorder="1" applyAlignment="1" applyProtection="1">
      <alignment horizontal="center" vertical="center" wrapText="1"/>
      <protection hidden="1"/>
    </xf>
    <xf numFmtId="0" fontId="12" fillId="2" borderId="7" xfId="294" applyFont="1" applyFill="1" applyBorder="1" applyAlignment="1" applyProtection="1">
      <alignment horizontal="center" vertical="center" wrapText="1"/>
      <protection hidden="1"/>
    </xf>
    <xf numFmtId="0" fontId="12" fillId="2" borderId="9" xfId="294" applyFont="1" applyFill="1" applyBorder="1" applyAlignment="1" applyProtection="1">
      <alignment horizontal="center" vertical="center" wrapText="1"/>
      <protection hidden="1"/>
    </xf>
    <xf numFmtId="0" fontId="12" fillId="0" borderId="10" xfId="2" applyFont="1" applyFill="1" applyBorder="1" applyAlignment="1" applyProtection="1">
      <alignment horizontal="left" vertical="center" wrapText="1"/>
      <protection locked="0"/>
    </xf>
    <xf numFmtId="0" fontId="12" fillId="3" borderId="10" xfId="2" applyFont="1" applyFill="1" applyBorder="1" applyAlignment="1" applyProtection="1">
      <alignment horizontal="center" vertical="center"/>
      <protection locked="0"/>
    </xf>
    <xf numFmtId="0" fontId="12" fillId="0" borderId="10" xfId="298" applyFont="1" applyBorder="1" applyAlignment="1" applyProtection="1">
      <alignment horizontal="center" vertical="center" wrapText="1"/>
      <protection hidden="1"/>
    </xf>
    <xf numFmtId="172" fontId="8" fillId="0" borderId="10" xfId="298" applyNumberFormat="1" applyFont="1" applyBorder="1" applyAlignment="1" applyProtection="1">
      <alignment horizontal="center" vertical="center"/>
      <protection hidden="1"/>
    </xf>
    <xf numFmtId="0" fontId="12" fillId="0" borderId="3" xfId="294" applyFont="1" applyBorder="1" applyAlignment="1" applyProtection="1">
      <alignment horizontal="center" vertical="center" wrapText="1"/>
      <protection hidden="1"/>
    </xf>
    <xf numFmtId="0" fontId="12" fillId="0" borderId="7" xfId="294" applyFont="1" applyBorder="1" applyAlignment="1" applyProtection="1">
      <alignment horizontal="center" vertical="center" wrapText="1"/>
      <protection hidden="1"/>
    </xf>
    <xf numFmtId="0" fontId="12" fillId="0" borderId="9" xfId="294" applyFont="1" applyBorder="1" applyAlignment="1" applyProtection="1">
      <alignment horizontal="center" vertical="center" wrapText="1"/>
      <protection hidden="1"/>
    </xf>
    <xf numFmtId="3" fontId="8" fillId="0" borderId="2" xfId="298" applyNumberFormat="1" applyFont="1" applyBorder="1" applyAlignment="1" applyProtection="1">
      <alignment horizontal="center" vertical="center"/>
      <protection hidden="1"/>
    </xf>
    <xf numFmtId="3" fontId="8" fillId="0" borderId="4" xfId="298" applyNumberFormat="1" applyFont="1" applyBorder="1" applyAlignment="1" applyProtection="1">
      <alignment horizontal="center" vertical="center"/>
      <protection hidden="1"/>
    </xf>
    <xf numFmtId="3" fontId="8" fillId="0" borderId="5" xfId="298" applyNumberFormat="1" applyFont="1" applyBorder="1" applyAlignment="1" applyProtection="1">
      <alignment horizontal="center" vertical="center"/>
      <protection hidden="1"/>
    </xf>
    <xf numFmtId="0" fontId="144" fillId="0" borderId="8" xfId="298" applyFont="1" applyBorder="1" applyAlignment="1">
      <alignment horizontal="left" vertical="center" wrapText="1"/>
    </xf>
    <xf numFmtId="0" fontId="144" fillId="0" borderId="12" xfId="298" applyFont="1" applyBorder="1" applyAlignment="1">
      <alignment horizontal="left" vertical="center" wrapText="1"/>
    </xf>
    <xf numFmtId="0" fontId="144" fillId="0" borderId="11" xfId="298" applyFont="1" applyBorder="1" applyAlignment="1">
      <alignment horizontal="left" vertical="center" wrapText="1"/>
    </xf>
    <xf numFmtId="0" fontId="144" fillId="0" borderId="15" xfId="298" applyFont="1" applyBorder="1" applyAlignment="1">
      <alignment horizontal="left" vertical="center" wrapText="1"/>
    </xf>
    <xf numFmtId="0" fontId="144" fillId="0" borderId="1" xfId="298" applyFont="1" applyBorder="1" applyAlignment="1">
      <alignment horizontal="left" vertical="center" wrapText="1"/>
    </xf>
    <xf numFmtId="0" fontId="144" fillId="0" borderId="16" xfId="298" applyFont="1" applyBorder="1" applyAlignment="1">
      <alignment horizontal="left" vertical="center" wrapText="1"/>
    </xf>
    <xf numFmtId="172" fontId="8" fillId="0" borderId="3" xfId="298" applyNumberFormat="1" applyFont="1" applyBorder="1" applyAlignment="1" applyProtection="1">
      <alignment horizontal="center" vertical="center"/>
      <protection hidden="1"/>
    </xf>
    <xf numFmtId="172" fontId="8" fillId="0" borderId="9" xfId="298" applyNumberFormat="1" applyFont="1" applyBorder="1" applyAlignment="1" applyProtection="1">
      <alignment horizontal="center" vertical="center"/>
      <protection hidden="1"/>
    </xf>
    <xf numFmtId="3" fontId="8" fillId="0" borderId="10" xfId="298" applyNumberFormat="1" applyFont="1" applyFill="1" applyBorder="1" applyAlignment="1" applyProtection="1">
      <alignment horizontal="center" vertical="center"/>
      <protection hidden="1"/>
    </xf>
    <xf numFmtId="0" fontId="8" fillId="0" borderId="7" xfId="298" applyFont="1" applyBorder="1" applyAlignment="1" applyProtection="1">
      <alignment horizontal="center" vertical="center"/>
      <protection hidden="1"/>
    </xf>
    <xf numFmtId="3" fontId="8" fillId="0" borderId="32" xfId="298" applyNumberFormat="1" applyFont="1" applyFill="1" applyBorder="1" applyAlignment="1" applyProtection="1">
      <alignment horizontal="center" vertical="center"/>
      <protection hidden="1"/>
    </xf>
    <xf numFmtId="3" fontId="8" fillId="0" borderId="45" xfId="298" applyNumberFormat="1" applyFont="1" applyFill="1" applyBorder="1" applyAlignment="1" applyProtection="1">
      <alignment horizontal="center" vertical="center"/>
      <protection hidden="1"/>
    </xf>
    <xf numFmtId="3" fontId="8" fillId="0" borderId="33" xfId="298" applyNumberFormat="1" applyFont="1" applyFill="1" applyBorder="1" applyAlignment="1" applyProtection="1">
      <alignment horizontal="center" vertical="center"/>
      <protection hidden="1"/>
    </xf>
    <xf numFmtId="3" fontId="8" fillId="0" borderId="26" xfId="298" applyNumberFormat="1" applyFont="1" applyBorder="1" applyAlignment="1" applyProtection="1">
      <alignment horizontal="center" vertical="center"/>
      <protection hidden="1"/>
    </xf>
    <xf numFmtId="3" fontId="8" fillId="0" borderId="27" xfId="298" applyNumberFormat="1" applyFont="1" applyBorder="1" applyAlignment="1" applyProtection="1">
      <alignment horizontal="center" vertical="center"/>
      <protection hidden="1"/>
    </xf>
    <xf numFmtId="3" fontId="8" fillId="0" borderId="28" xfId="298" applyNumberFormat="1" applyFont="1" applyBorder="1" applyAlignment="1" applyProtection="1">
      <alignment horizontal="center" vertical="center"/>
      <protection hidden="1"/>
    </xf>
    <xf numFmtId="3" fontId="8" fillId="0" borderId="8" xfId="298" applyNumberFormat="1" applyFont="1" applyFill="1" applyBorder="1" applyAlignment="1" applyProtection="1">
      <alignment horizontal="center" vertical="center"/>
      <protection hidden="1"/>
    </xf>
    <xf numFmtId="3" fontId="8" fillId="0" borderId="12" xfId="298" applyNumberFormat="1" applyFont="1" applyFill="1" applyBorder="1" applyAlignment="1" applyProtection="1">
      <alignment horizontal="center" vertical="center"/>
      <protection hidden="1"/>
    </xf>
    <xf numFmtId="3" fontId="8" fillId="0" borderId="11" xfId="298" applyNumberFormat="1" applyFont="1" applyFill="1" applyBorder="1" applyAlignment="1" applyProtection="1">
      <alignment horizontal="center" vertical="center"/>
      <protection hidden="1"/>
    </xf>
    <xf numFmtId="3" fontId="8" fillId="0" borderId="35" xfId="298" applyNumberFormat="1" applyFont="1" applyFill="1" applyBorder="1" applyAlignment="1" applyProtection="1">
      <alignment horizontal="center" vertical="center"/>
      <protection hidden="1"/>
    </xf>
    <xf numFmtId="3" fontId="8" fillId="0" borderId="40" xfId="298" applyNumberFormat="1" applyFont="1" applyFill="1" applyBorder="1" applyAlignment="1" applyProtection="1">
      <alignment horizontal="center" vertical="center"/>
      <protection hidden="1"/>
    </xf>
    <xf numFmtId="3" fontId="8" fillId="0" borderId="41" xfId="298" applyNumberFormat="1" applyFont="1" applyFill="1" applyBorder="1" applyAlignment="1" applyProtection="1">
      <alignment horizontal="center" vertical="center"/>
      <protection hidden="1"/>
    </xf>
    <xf numFmtId="0" fontId="12" fillId="0" borderId="8" xfId="294" applyFont="1" applyBorder="1" applyAlignment="1" applyProtection="1">
      <alignment horizontal="center" vertical="center" wrapText="1"/>
      <protection hidden="1"/>
    </xf>
    <xf numFmtId="0" fontId="12" fillId="0" borderId="11" xfId="294" applyFont="1" applyBorder="1" applyAlignment="1" applyProtection="1">
      <alignment horizontal="center" vertical="center" wrapText="1"/>
      <protection hidden="1"/>
    </xf>
    <xf numFmtId="0" fontId="12" fillId="0" borderId="6" xfId="294" applyFont="1" applyBorder="1" applyAlignment="1" applyProtection="1">
      <alignment horizontal="center" vertical="center" wrapText="1"/>
      <protection hidden="1"/>
    </xf>
    <xf numFmtId="0" fontId="12" fillId="0" borderId="14" xfId="294" applyFont="1" applyBorder="1" applyAlignment="1" applyProtection="1">
      <alignment horizontal="center" vertical="center" wrapText="1"/>
      <protection hidden="1"/>
    </xf>
    <xf numFmtId="0" fontId="12" fillId="0" borderId="15" xfId="294" applyFont="1" applyBorder="1" applyAlignment="1" applyProtection="1">
      <alignment horizontal="center" vertical="center" wrapText="1"/>
      <protection hidden="1"/>
    </xf>
    <xf numFmtId="0" fontId="12" fillId="0" borderId="16" xfId="294" applyFont="1" applyBorder="1" applyAlignment="1" applyProtection="1">
      <alignment horizontal="center" vertical="center" wrapText="1"/>
      <protection hidden="1"/>
    </xf>
    <xf numFmtId="3" fontId="8" fillId="0" borderId="26" xfId="298" applyNumberFormat="1" applyFont="1" applyFill="1" applyBorder="1" applyAlignment="1" applyProtection="1">
      <alignment horizontal="center" vertical="center"/>
      <protection hidden="1"/>
    </xf>
    <xf numFmtId="3" fontId="8" fillId="0" borderId="27" xfId="298" applyNumberFormat="1" applyFont="1" applyFill="1" applyBorder="1" applyAlignment="1" applyProtection="1">
      <alignment horizontal="center" vertical="center"/>
      <protection hidden="1"/>
    </xf>
    <xf numFmtId="3" fontId="8" fillId="0" borderId="28" xfId="298" applyNumberFormat="1" applyFont="1" applyFill="1" applyBorder="1" applyAlignment="1" applyProtection="1">
      <alignment horizontal="center" vertical="center"/>
      <protection hidden="1"/>
    </xf>
    <xf numFmtId="0" fontId="12" fillId="0" borderId="12" xfId="294" applyFont="1" applyBorder="1" applyAlignment="1" applyProtection="1">
      <alignment horizontal="center" vertical="center" wrapText="1"/>
      <protection hidden="1"/>
    </xf>
    <xf numFmtId="0" fontId="8" fillId="0" borderId="8" xfId="298" applyFont="1" applyBorder="1" applyAlignment="1" applyProtection="1">
      <alignment horizontal="center" vertical="center" wrapText="1"/>
      <protection hidden="1"/>
    </xf>
    <xf numFmtId="0" fontId="8" fillId="0" borderId="6" xfId="298" applyFont="1" applyBorder="1" applyAlignment="1" applyProtection="1">
      <alignment horizontal="center" vertical="center" wrapText="1"/>
      <protection hidden="1"/>
    </xf>
    <xf numFmtId="0" fontId="8" fillId="0" borderId="15" xfId="298" applyFont="1" applyBorder="1" applyAlignment="1" applyProtection="1">
      <alignment horizontal="center" vertical="center" wrapText="1"/>
      <protection hidden="1"/>
    </xf>
    <xf numFmtId="0" fontId="8" fillId="0" borderId="12" xfId="298" applyFont="1" applyBorder="1" applyAlignment="1" applyProtection="1">
      <alignment horizontal="center" vertical="center" wrapText="1"/>
      <protection hidden="1"/>
    </xf>
    <xf numFmtId="0" fontId="8" fillId="0" borderId="11" xfId="298" applyFont="1" applyBorder="1" applyAlignment="1" applyProtection="1">
      <alignment horizontal="center" vertical="center" wrapText="1"/>
      <protection hidden="1"/>
    </xf>
    <xf numFmtId="0" fontId="8" fillId="0" borderId="0" xfId="298" applyFont="1" applyBorder="1" applyAlignment="1" applyProtection="1">
      <alignment horizontal="center" vertical="center" wrapText="1"/>
      <protection hidden="1"/>
    </xf>
    <xf numFmtId="0" fontId="8" fillId="0" borderId="14" xfId="298" applyFont="1" applyBorder="1" applyAlignment="1" applyProtection="1">
      <alignment horizontal="center" vertical="center" wrapText="1"/>
      <protection hidden="1"/>
    </xf>
    <xf numFmtId="0" fontId="8" fillId="0" borderId="1" xfId="298" applyFont="1" applyBorder="1" applyAlignment="1" applyProtection="1">
      <alignment horizontal="center" vertical="center" wrapText="1"/>
      <protection hidden="1"/>
    </xf>
    <xf numFmtId="0" fontId="8" fillId="0" borderId="16" xfId="298" applyFont="1" applyBorder="1" applyAlignment="1" applyProtection="1">
      <alignment horizontal="center" vertical="center" wrapText="1"/>
      <protection hidden="1"/>
    </xf>
    <xf numFmtId="0" fontId="3" fillId="0" borderId="0" xfId="271" applyFont="1" applyBorder="1" applyAlignment="1">
      <alignment horizontal="center"/>
    </xf>
    <xf numFmtId="0" fontId="3" fillId="0" borderId="90" xfId="271" applyFont="1" applyBorder="1" applyAlignment="1">
      <alignment horizontal="center"/>
    </xf>
    <xf numFmtId="0" fontId="106" fillId="0" borderId="70" xfId="271" applyFont="1" applyBorder="1" applyAlignment="1">
      <alignment horizontal="left"/>
    </xf>
    <xf numFmtId="0" fontId="106" fillId="0" borderId="4" xfId="271" applyFont="1" applyBorder="1" applyAlignment="1">
      <alignment horizontal="left"/>
    </xf>
    <xf numFmtId="0" fontId="106" fillId="0" borderId="5" xfId="271" applyFont="1" applyBorder="1" applyAlignment="1">
      <alignment horizontal="left"/>
    </xf>
    <xf numFmtId="0" fontId="106" fillId="0" borderId="2" xfId="271" applyFont="1" applyFill="1" applyBorder="1" applyAlignment="1">
      <alignment horizontal="left"/>
    </xf>
    <xf numFmtId="0" fontId="106" fillId="0" borderId="4" xfId="271" applyFont="1" applyFill="1" applyBorder="1" applyAlignment="1">
      <alignment horizontal="left"/>
    </xf>
    <xf numFmtId="0" fontId="106" fillId="0" borderId="5" xfId="271" applyFont="1" applyFill="1" applyBorder="1" applyAlignment="1">
      <alignment horizontal="left"/>
    </xf>
    <xf numFmtId="0" fontId="107" fillId="2" borderId="71" xfId="271" applyFont="1" applyFill="1" applyBorder="1" applyAlignment="1">
      <alignment horizontal="left" vertical="center"/>
    </xf>
    <xf numFmtId="0" fontId="107" fillId="2" borderId="1" xfId="271" applyFont="1" applyFill="1" applyBorder="1" applyAlignment="1">
      <alignment horizontal="left" vertical="center"/>
    </xf>
    <xf numFmtId="0" fontId="107" fillId="2" borderId="16" xfId="271" applyFont="1" applyFill="1" applyBorder="1" applyAlignment="1">
      <alignment horizontal="left" vertical="center"/>
    </xf>
    <xf numFmtId="0" fontId="106" fillId="0" borderId="2" xfId="271" applyFont="1" applyBorder="1" applyAlignment="1">
      <alignment horizontal="left" vertical="center" wrapText="1"/>
    </xf>
    <xf numFmtId="0" fontId="106" fillId="0" borderId="4" xfId="271" applyFont="1" applyBorder="1" applyAlignment="1">
      <alignment horizontal="left" vertical="center" wrapText="1"/>
    </xf>
    <xf numFmtId="0" fontId="106" fillId="0" borderId="5" xfId="271" applyFont="1" applyBorder="1" applyAlignment="1">
      <alignment horizontal="left" vertical="center" wrapText="1"/>
    </xf>
    <xf numFmtId="0" fontId="106" fillId="0" borderId="2" xfId="271" applyFont="1" applyBorder="1" applyAlignment="1">
      <alignment horizontal="center" vertical="center"/>
    </xf>
    <xf numFmtId="0" fontId="106" fillId="0" borderId="5" xfId="271" applyFont="1" applyBorder="1" applyAlignment="1">
      <alignment horizontal="center" vertical="center"/>
    </xf>
    <xf numFmtId="0" fontId="106" fillId="0" borderId="10" xfId="378" applyNumberFormat="1" applyFont="1" applyFill="1" applyBorder="1" applyAlignment="1">
      <alignment horizontal="center" vertical="center"/>
    </xf>
    <xf numFmtId="4" fontId="106" fillId="0" borderId="30" xfId="378" applyNumberFormat="1" applyFont="1" applyFill="1" applyBorder="1" applyAlignment="1">
      <alignment horizontal="center" vertical="center"/>
    </xf>
    <xf numFmtId="4" fontId="106" fillId="0" borderId="32" xfId="378" applyNumberFormat="1" applyFont="1" applyFill="1" applyBorder="1" applyAlignment="1">
      <alignment horizontal="center" vertical="center"/>
    </xf>
    <xf numFmtId="4" fontId="106" fillId="0" borderId="33" xfId="378" applyNumberFormat="1" applyFont="1" applyFill="1" applyBorder="1" applyAlignment="1">
      <alignment horizontal="center" vertical="center"/>
    </xf>
    <xf numFmtId="0" fontId="107" fillId="3" borderId="71" xfId="271" applyFont="1" applyFill="1" applyBorder="1" applyAlignment="1">
      <alignment horizontal="left" vertical="center" wrapText="1"/>
    </xf>
    <xf numFmtId="0" fontId="107" fillId="3" borderId="1" xfId="271" applyFont="1" applyFill="1" applyBorder="1" applyAlignment="1">
      <alignment horizontal="left" vertical="center" wrapText="1"/>
    </xf>
    <xf numFmtId="0" fontId="107" fillId="3" borderId="16" xfId="271" applyFont="1" applyFill="1" applyBorder="1" applyAlignment="1">
      <alignment horizontal="left" vertical="center" wrapText="1"/>
    </xf>
    <xf numFmtId="0" fontId="107" fillId="3" borderId="10" xfId="271" applyFont="1" applyFill="1" applyBorder="1" applyAlignment="1">
      <alignment horizontal="center" vertical="center"/>
    </xf>
    <xf numFmtId="0" fontId="107" fillId="0" borderId="10" xfId="271" applyFont="1" applyFill="1" applyBorder="1" applyAlignment="1">
      <alignment horizontal="center" vertical="center"/>
    </xf>
    <xf numFmtId="0" fontId="98" fillId="4" borderId="2" xfId="1" applyFont="1" applyFill="1" applyBorder="1" applyAlignment="1">
      <alignment horizontal="center" vertical="center"/>
    </xf>
    <xf numFmtId="0" fontId="98" fillId="4" borderId="4" xfId="1" applyFont="1" applyFill="1" applyBorder="1" applyAlignment="1">
      <alignment horizontal="center" vertical="center"/>
    </xf>
    <xf numFmtId="9" fontId="96" fillId="0" borderId="2" xfId="4" applyFont="1" applyBorder="1" applyAlignment="1">
      <alignment horizontal="center" vertical="center"/>
    </xf>
    <xf numFmtId="9" fontId="96" fillId="0" borderId="5" xfId="4" applyFont="1" applyBorder="1" applyAlignment="1">
      <alignment horizontal="center" vertical="center"/>
    </xf>
    <xf numFmtId="4" fontId="106" fillId="0" borderId="35" xfId="378" applyNumberFormat="1" applyFont="1" applyFill="1" applyBorder="1" applyAlignment="1">
      <alignment horizontal="center" vertical="center"/>
    </xf>
    <xf numFmtId="4" fontId="106" fillId="0" borderId="40" xfId="378" applyNumberFormat="1" applyFont="1" applyFill="1" applyBorder="1" applyAlignment="1">
      <alignment horizontal="center" vertical="center"/>
    </xf>
    <xf numFmtId="4" fontId="106" fillId="0" borderId="41" xfId="378" applyNumberFormat="1" applyFont="1" applyFill="1" applyBorder="1" applyAlignment="1">
      <alignment horizontal="center" vertical="center"/>
    </xf>
    <xf numFmtId="0" fontId="107" fillId="2" borderId="71" xfId="271" applyFont="1" applyFill="1" applyBorder="1" applyAlignment="1">
      <alignment horizontal="left"/>
    </xf>
    <xf numFmtId="0" fontId="107" fillId="2" borderId="1" xfId="271" applyFont="1" applyFill="1" applyBorder="1" applyAlignment="1">
      <alignment horizontal="left"/>
    </xf>
    <xf numFmtId="0" fontId="107" fillId="2" borderId="16" xfId="271" applyFont="1" applyFill="1" applyBorder="1" applyAlignment="1">
      <alignment horizontal="left"/>
    </xf>
    <xf numFmtId="0" fontId="106" fillId="0" borderId="10" xfId="378" applyFont="1" applyBorder="1" applyAlignment="1">
      <alignment horizontal="left" vertical="center" wrapText="1"/>
    </xf>
    <xf numFmtId="0" fontId="106" fillId="0" borderId="10" xfId="378" applyFont="1" applyFill="1" applyBorder="1" applyAlignment="1">
      <alignment wrapText="1"/>
    </xf>
    <xf numFmtId="2" fontId="107" fillId="0" borderId="10" xfId="170" applyNumberFormat="1" applyFont="1" applyFill="1" applyBorder="1" applyAlignment="1">
      <alignment horizontal="center" vertical="center" wrapText="1"/>
    </xf>
    <xf numFmtId="4" fontId="106" fillId="0" borderId="34" xfId="378" applyNumberFormat="1" applyFont="1" applyFill="1" applyBorder="1" applyAlignment="1">
      <alignment horizontal="center" vertical="center"/>
    </xf>
    <xf numFmtId="4" fontId="106" fillId="0" borderId="26" xfId="378" applyNumberFormat="1" applyFont="1" applyFill="1" applyBorder="1" applyAlignment="1">
      <alignment horizontal="center" vertical="center"/>
    </xf>
    <xf numFmtId="4" fontId="106" fillId="0" borderId="28" xfId="378" applyNumberFormat="1" applyFont="1" applyFill="1" applyBorder="1" applyAlignment="1">
      <alignment horizontal="center" vertical="center"/>
    </xf>
    <xf numFmtId="4" fontId="106" fillId="0" borderId="45" xfId="378" applyNumberFormat="1" applyFont="1" applyFill="1" applyBorder="1" applyAlignment="1">
      <alignment horizontal="center" vertical="center"/>
    </xf>
    <xf numFmtId="0" fontId="106" fillId="0" borderId="3" xfId="271" applyFont="1" applyFill="1" applyBorder="1" applyAlignment="1">
      <alignment horizontal="center" vertical="center" wrapText="1"/>
    </xf>
    <xf numFmtId="0" fontId="106" fillId="0" borderId="9" xfId="271" applyFont="1" applyFill="1" applyBorder="1" applyAlignment="1">
      <alignment horizontal="center" vertical="center" wrapText="1"/>
    </xf>
    <xf numFmtId="0" fontId="106" fillId="0" borderId="10" xfId="271" applyFont="1" applyBorder="1" applyAlignment="1">
      <alignment horizontal="center" vertical="center" wrapText="1"/>
    </xf>
    <xf numFmtId="0" fontId="106" fillId="0" borderId="10" xfId="271" applyFont="1" applyBorder="1" applyAlignment="1">
      <alignment horizontal="center" vertical="center"/>
    </xf>
    <xf numFmtId="0" fontId="107" fillId="2" borderId="70" xfId="271" applyFont="1" applyFill="1" applyBorder="1" applyAlignment="1">
      <alignment horizontal="left" vertical="center"/>
    </xf>
    <xf numFmtId="0" fontId="107" fillId="2" borderId="4" xfId="271" applyFont="1" applyFill="1" applyBorder="1" applyAlignment="1">
      <alignment horizontal="left" vertical="center"/>
    </xf>
    <xf numFmtId="0" fontId="107" fillId="2" borderId="5" xfId="271" applyFont="1" applyFill="1" applyBorder="1" applyAlignment="1">
      <alignment horizontal="left" vertical="center"/>
    </xf>
    <xf numFmtId="0" fontId="107" fillId="2" borderId="2" xfId="271" applyFont="1" applyFill="1" applyBorder="1" applyAlignment="1">
      <alignment horizontal="center" vertical="center" wrapText="1"/>
    </xf>
    <xf numFmtId="0" fontId="107" fillId="2" borderId="5" xfId="271" applyFont="1" applyFill="1" applyBorder="1" applyAlignment="1">
      <alignment horizontal="center" vertical="center" wrapText="1"/>
    </xf>
    <xf numFmtId="0" fontId="107" fillId="3" borderId="10" xfId="271" applyFont="1" applyFill="1" applyBorder="1" applyAlignment="1">
      <alignment horizontal="center" vertical="center" wrapText="1"/>
    </xf>
    <xf numFmtId="3" fontId="106" fillId="0" borderId="2" xfId="271" applyNumberFormat="1" applyFont="1" applyBorder="1" applyAlignment="1">
      <alignment horizontal="center" vertical="center"/>
    </xf>
    <xf numFmtId="3" fontId="106" fillId="0" borderId="5" xfId="271" applyNumberFormat="1" applyFont="1" applyBorder="1" applyAlignment="1">
      <alignment horizontal="center" vertical="center"/>
    </xf>
    <xf numFmtId="0" fontId="83" fillId="0" borderId="0" xfId="271" applyFont="1" applyAlignment="1">
      <alignment horizontal="center"/>
    </xf>
    <xf numFmtId="0" fontId="107" fillId="2" borderId="9" xfId="271" applyFont="1" applyFill="1" applyBorder="1" applyAlignment="1">
      <alignment horizontal="center" vertical="center"/>
    </xf>
    <xf numFmtId="0" fontId="107" fillId="2" borderId="10" xfId="271" applyFont="1" applyFill="1" applyBorder="1" applyAlignment="1">
      <alignment horizontal="center" vertical="center"/>
    </xf>
    <xf numFmtId="0" fontId="107" fillId="2" borderId="9" xfId="271" applyFont="1" applyFill="1" applyBorder="1" applyAlignment="1">
      <alignment horizontal="center" vertical="center" wrapText="1"/>
    </xf>
    <xf numFmtId="0" fontId="107" fillId="2" borderId="10" xfId="271" applyFont="1" applyFill="1" applyBorder="1" applyAlignment="1">
      <alignment horizontal="center" vertical="center" wrapText="1"/>
    </xf>
    <xf numFmtId="0" fontId="107" fillId="3" borderId="3" xfId="271" applyFont="1" applyFill="1" applyBorder="1" applyAlignment="1">
      <alignment horizontal="center" vertical="center"/>
    </xf>
    <xf numFmtId="0" fontId="107" fillId="3" borderId="9" xfId="271" applyFont="1" applyFill="1" applyBorder="1" applyAlignment="1">
      <alignment horizontal="center" vertical="center"/>
    </xf>
    <xf numFmtId="0" fontId="107" fillId="2" borderId="3" xfId="271" applyFont="1" applyFill="1" applyBorder="1" applyAlignment="1">
      <alignment horizontal="center" vertical="center" wrapText="1"/>
    </xf>
    <xf numFmtId="0" fontId="107" fillId="2" borderId="3" xfId="271" applyFont="1" applyFill="1" applyBorder="1" applyAlignment="1">
      <alignment horizontal="center" vertical="center"/>
    </xf>
    <xf numFmtId="0" fontId="134" fillId="0" borderId="0" xfId="271" applyFont="1" applyBorder="1" applyAlignment="1">
      <alignment horizontal="center"/>
    </xf>
    <xf numFmtId="0" fontId="134" fillId="0" borderId="90" xfId="271" applyFont="1" applyBorder="1" applyAlignment="1">
      <alignment horizontal="center"/>
    </xf>
    <xf numFmtId="0" fontId="116" fillId="3" borderId="2" xfId="271" applyFont="1" applyFill="1" applyBorder="1" applyAlignment="1">
      <alignment horizontal="center" vertical="center" wrapText="1"/>
    </xf>
    <xf numFmtId="0" fontId="116" fillId="3" borderId="5" xfId="271" applyFont="1" applyFill="1" applyBorder="1" applyAlignment="1">
      <alignment horizontal="center" vertical="center" wrapText="1"/>
    </xf>
    <xf numFmtId="0" fontId="116" fillId="0" borderId="10" xfId="271" applyFont="1" applyFill="1" applyBorder="1" applyAlignment="1">
      <alignment horizontal="center" vertical="center"/>
    </xf>
    <xf numFmtId="0" fontId="116" fillId="3" borderId="3" xfId="271" applyFont="1" applyFill="1" applyBorder="1" applyAlignment="1">
      <alignment horizontal="center" vertical="center" wrapText="1"/>
    </xf>
    <xf numFmtId="0" fontId="116" fillId="3" borderId="7" xfId="271" applyFont="1" applyFill="1" applyBorder="1" applyAlignment="1">
      <alignment horizontal="center" vertical="center" wrapText="1"/>
    </xf>
    <xf numFmtId="0" fontId="116" fillId="0" borderId="10" xfId="0" applyFont="1" applyFill="1" applyBorder="1" applyAlignment="1">
      <alignment horizontal="center" vertical="center" wrapText="1"/>
    </xf>
    <xf numFmtId="0" fontId="116" fillId="0" borderId="26" xfId="271" applyFont="1" applyBorder="1" applyAlignment="1">
      <alignment horizontal="center" vertical="center"/>
    </xf>
    <xf numFmtId="0" fontId="116" fillId="0" borderId="27" xfId="271" applyFont="1" applyBorder="1" applyAlignment="1">
      <alignment horizontal="center" vertical="center"/>
    </xf>
    <xf numFmtId="0" fontId="116" fillId="0" borderId="28" xfId="271" applyFont="1" applyBorder="1" applyAlignment="1">
      <alignment horizontal="center" vertical="center"/>
    </xf>
    <xf numFmtId="0" fontId="116" fillId="0" borderId="32" xfId="271" applyFont="1" applyBorder="1" applyAlignment="1">
      <alignment horizontal="center" vertical="center"/>
    </xf>
    <xf numFmtId="0" fontId="116" fillId="0" borderId="45" xfId="271" applyFont="1" applyBorder="1" applyAlignment="1">
      <alignment horizontal="center" vertical="center"/>
    </xf>
    <xf numFmtId="0" fontId="116" fillId="0" borderId="33" xfId="271" applyFont="1" applyBorder="1" applyAlignment="1">
      <alignment horizontal="center" vertical="center"/>
    </xf>
    <xf numFmtId="0" fontId="116" fillId="0" borderId="35" xfId="271" applyFont="1" applyBorder="1" applyAlignment="1">
      <alignment horizontal="center" vertical="center"/>
    </xf>
    <xf numFmtId="0" fontId="116" fillId="0" borderId="40" xfId="271" applyFont="1" applyBorder="1" applyAlignment="1">
      <alignment horizontal="center" vertical="center"/>
    </xf>
    <xf numFmtId="0" fontId="116" fillId="0" borderId="41" xfId="271" applyFont="1" applyBorder="1" applyAlignment="1">
      <alignment horizontal="center" vertical="center"/>
    </xf>
    <xf numFmtId="0" fontId="41" fillId="2" borderId="2" xfId="271" applyFont="1" applyFill="1" applyBorder="1" applyAlignment="1">
      <alignment horizontal="center" vertical="center"/>
    </xf>
    <xf numFmtId="0" fontId="41" fillId="2" borderId="4" xfId="271" applyFont="1" applyFill="1" applyBorder="1" applyAlignment="1">
      <alignment horizontal="center" vertical="center"/>
    </xf>
    <xf numFmtId="0" fontId="41" fillId="2" borderId="5" xfId="271" applyFont="1" applyFill="1" applyBorder="1" applyAlignment="1">
      <alignment horizontal="center" vertical="center"/>
    </xf>
    <xf numFmtId="0" fontId="76" fillId="3" borderId="2" xfId="271" applyFont="1" applyFill="1" applyBorder="1" applyAlignment="1">
      <alignment horizontal="center" vertical="center"/>
    </xf>
    <xf numFmtId="0" fontId="76" fillId="3" borderId="4" xfId="271" applyFont="1" applyFill="1" applyBorder="1" applyAlignment="1">
      <alignment horizontal="center" vertical="center"/>
    </xf>
    <xf numFmtId="0" fontId="76" fillId="3" borderId="5" xfId="271" applyFont="1" applyFill="1" applyBorder="1" applyAlignment="1">
      <alignment horizontal="center" vertical="center"/>
    </xf>
    <xf numFmtId="0" fontId="41" fillId="0" borderId="3" xfId="271" applyFont="1" applyFill="1" applyBorder="1" applyAlignment="1">
      <alignment horizontal="center" vertical="center"/>
    </xf>
    <xf numFmtId="0" fontId="41" fillId="0" borderId="7" xfId="271" applyFont="1" applyFill="1" applyBorder="1" applyAlignment="1">
      <alignment horizontal="center" vertical="center"/>
    </xf>
    <xf numFmtId="0" fontId="41" fillId="0" borderId="9" xfId="271" applyFont="1" applyFill="1" applyBorder="1" applyAlignment="1">
      <alignment horizontal="center" vertical="center"/>
    </xf>
    <xf numFmtId="0" fontId="116" fillId="3" borderId="9" xfId="271" applyFont="1" applyFill="1" applyBorder="1" applyAlignment="1">
      <alignment horizontal="center" vertical="center" wrapText="1"/>
    </xf>
    <xf numFmtId="0" fontId="116" fillId="0" borderId="6" xfId="271" applyFont="1" applyFill="1" applyBorder="1" applyAlignment="1">
      <alignment horizontal="center" vertical="center"/>
    </xf>
    <xf numFmtId="0" fontId="116" fillId="0" borderId="0" xfId="271" applyFont="1" applyFill="1" applyBorder="1" applyAlignment="1">
      <alignment horizontal="center" vertical="center"/>
    </xf>
    <xf numFmtId="0" fontId="116" fillId="0" borderId="14" xfId="271" applyFont="1" applyFill="1" applyBorder="1" applyAlignment="1">
      <alignment horizontal="center" vertical="center"/>
    </xf>
    <xf numFmtId="0" fontId="116" fillId="0" borderId="32" xfId="271" applyFont="1" applyBorder="1" applyAlignment="1">
      <alignment horizontal="center" vertical="center" wrapText="1"/>
    </xf>
    <xf numFmtId="0" fontId="116" fillId="0" borderId="45" xfId="271" applyFont="1" applyBorder="1" applyAlignment="1">
      <alignment horizontal="center" vertical="center" wrapText="1"/>
    </xf>
    <xf numFmtId="0" fontId="116" fillId="0" borderId="33" xfId="271" applyFont="1" applyBorder="1" applyAlignment="1">
      <alignment horizontal="center" vertical="center" wrapText="1"/>
    </xf>
    <xf numFmtId="0" fontId="116" fillId="0" borderId="2" xfId="271" applyFont="1" applyBorder="1" applyAlignment="1">
      <alignment horizontal="center" vertical="center"/>
    </xf>
    <xf numFmtId="0" fontId="116" fillId="0" borderId="4" xfId="271" applyFont="1" applyBorder="1" applyAlignment="1">
      <alignment horizontal="center" vertical="center"/>
    </xf>
    <xf numFmtId="0" fontId="116" fillId="0" borderId="5" xfId="271" applyFont="1" applyBorder="1" applyAlignment="1">
      <alignment horizontal="center" vertical="center"/>
    </xf>
    <xf numFmtId="0" fontId="8" fillId="0" borderId="2" xfId="271" applyFont="1" applyBorder="1" applyAlignment="1">
      <alignment horizontal="left" vertical="top" wrapText="1"/>
    </xf>
    <xf numFmtId="0" fontId="8" fillId="0" borderId="5" xfId="271" applyFont="1" applyBorder="1" applyAlignment="1">
      <alignment horizontal="left" vertical="top"/>
    </xf>
    <xf numFmtId="0" fontId="116" fillId="0" borderId="15" xfId="271" applyFont="1" applyBorder="1" applyAlignment="1">
      <alignment horizontal="center" vertical="center" wrapText="1"/>
    </xf>
    <xf numFmtId="0" fontId="116" fillId="0" borderId="1" xfId="271" applyFont="1" applyBorder="1" applyAlignment="1">
      <alignment horizontal="center" vertical="center" wrapText="1"/>
    </xf>
    <xf numFmtId="0" fontId="116" fillId="0" borderId="16" xfId="271" applyFont="1" applyBorder="1" applyAlignment="1">
      <alignment horizontal="center" vertical="center" wrapText="1"/>
    </xf>
    <xf numFmtId="0" fontId="41" fillId="2" borderId="10" xfId="271" applyFont="1" applyFill="1" applyBorder="1" applyAlignment="1">
      <alignment horizontal="center" vertical="center"/>
    </xf>
    <xf numFmtId="0" fontId="76" fillId="2" borderId="10" xfId="271" applyFont="1" applyFill="1" applyBorder="1" applyAlignment="1">
      <alignment horizontal="center" vertical="center"/>
    </xf>
    <xf numFmtId="0" fontId="8" fillId="0" borderId="5" xfId="271" applyFont="1" applyBorder="1" applyAlignment="1">
      <alignment horizontal="left" vertical="top" wrapText="1"/>
    </xf>
    <xf numFmtId="0" fontId="41" fillId="2" borderId="10" xfId="271" applyFont="1" applyFill="1" applyBorder="1" applyAlignment="1">
      <alignment horizontal="center" vertical="center" wrapText="1"/>
    </xf>
    <xf numFmtId="0" fontId="118" fillId="0" borderId="10" xfId="271" applyFont="1" applyFill="1" applyBorder="1" applyAlignment="1">
      <alignment horizontal="left" vertical="center" wrapText="1"/>
    </xf>
    <xf numFmtId="9" fontId="126" fillId="0" borderId="2" xfId="4" applyFont="1" applyBorder="1" applyAlignment="1">
      <alignment horizontal="center" vertical="center"/>
    </xf>
    <xf numFmtId="9" fontId="126" fillId="0" borderId="4" xfId="4" applyFont="1" applyBorder="1" applyAlignment="1">
      <alignment horizontal="center" vertical="center"/>
    </xf>
    <xf numFmtId="9" fontId="126" fillId="0" borderId="5" xfId="4" applyFont="1" applyBorder="1" applyAlignment="1">
      <alignment horizontal="center" vertical="center"/>
    </xf>
    <xf numFmtId="0" fontId="41" fillId="2" borderId="3" xfId="271" applyFont="1" applyFill="1" applyBorder="1" applyAlignment="1">
      <alignment horizontal="center" vertical="center"/>
    </xf>
    <xf numFmtId="0" fontId="41" fillId="2" borderId="7" xfId="271" applyFont="1" applyFill="1" applyBorder="1" applyAlignment="1">
      <alignment horizontal="center" vertical="center"/>
    </xf>
    <xf numFmtId="0" fontId="41" fillId="2" borderId="9" xfId="271" applyFont="1" applyFill="1" applyBorder="1" applyAlignment="1">
      <alignment horizontal="center" vertical="center"/>
    </xf>
    <xf numFmtId="0" fontId="41" fillId="2" borderId="8" xfId="271" applyFont="1" applyFill="1" applyBorder="1" applyAlignment="1">
      <alignment horizontal="center" vertical="center" wrapText="1"/>
    </xf>
    <xf numFmtId="0" fontId="41" fillId="2" borderId="11" xfId="271" applyFont="1" applyFill="1" applyBorder="1" applyAlignment="1">
      <alignment horizontal="center" vertical="center" wrapText="1"/>
    </xf>
    <xf numFmtId="0" fontId="41" fillId="2" borderId="6" xfId="271" applyFont="1" applyFill="1" applyBorder="1" applyAlignment="1">
      <alignment horizontal="center" vertical="center" wrapText="1"/>
    </xf>
    <xf numFmtId="0" fontId="41" fillId="2" borderId="14" xfId="271" applyFont="1" applyFill="1" applyBorder="1" applyAlignment="1">
      <alignment horizontal="center" vertical="center" wrapText="1"/>
    </xf>
    <xf numFmtId="0" fontId="41" fillId="2" borderId="15" xfId="271" applyFont="1" applyFill="1" applyBorder="1" applyAlignment="1">
      <alignment horizontal="center" vertical="center" wrapText="1"/>
    </xf>
    <xf numFmtId="0" fontId="41" fillId="2" borderId="16" xfId="271" applyFont="1" applyFill="1" applyBorder="1" applyAlignment="1">
      <alignment horizontal="center" vertical="center" wrapText="1"/>
    </xf>
    <xf numFmtId="0" fontId="41" fillId="2" borderId="3" xfId="271" applyFont="1" applyFill="1" applyBorder="1" applyAlignment="1">
      <alignment horizontal="center" vertical="center" wrapText="1"/>
    </xf>
    <xf numFmtId="0" fontId="41" fillId="2" borderId="7" xfId="271" applyFont="1" applyFill="1" applyBorder="1" applyAlignment="1">
      <alignment horizontal="center" vertical="center" wrapText="1"/>
    </xf>
    <xf numFmtId="0" fontId="41" fillId="2" borderId="9" xfId="271" applyFont="1" applyFill="1" applyBorder="1" applyAlignment="1">
      <alignment horizontal="center" vertical="center" wrapText="1"/>
    </xf>
    <xf numFmtId="0" fontId="116" fillId="0" borderId="10" xfId="271" applyFont="1" applyFill="1" applyBorder="1" applyAlignment="1">
      <alignment horizontal="left" vertical="center" wrapText="1"/>
    </xf>
    <xf numFmtId="2" fontId="7" fillId="0" borderId="3" xfId="271" applyNumberFormat="1" applyFont="1" applyBorder="1" applyAlignment="1">
      <alignment horizontal="center" vertical="center" wrapText="1"/>
    </xf>
    <xf numFmtId="2" fontId="7" fillId="0" borderId="9" xfId="271" applyNumberFormat="1" applyFont="1" applyBorder="1" applyAlignment="1">
      <alignment horizontal="center" vertical="center" wrapText="1"/>
    </xf>
    <xf numFmtId="0" fontId="116" fillId="3" borderId="8" xfId="271" applyFont="1" applyFill="1" applyBorder="1" applyAlignment="1">
      <alignment horizontal="center" vertical="center" wrapText="1"/>
    </xf>
    <xf numFmtId="0" fontId="116" fillId="3" borderId="11" xfId="271" applyFont="1" applyFill="1" applyBorder="1" applyAlignment="1">
      <alignment horizontal="center" vertical="center" wrapText="1"/>
    </xf>
    <xf numFmtId="0" fontId="116" fillId="3" borderId="15" xfId="271" applyFont="1" applyFill="1" applyBorder="1" applyAlignment="1">
      <alignment horizontal="center" vertical="center" wrapText="1"/>
    </xf>
    <xf numFmtId="0" fontId="116" fillId="3" borderId="16" xfId="271" applyFont="1" applyFill="1" applyBorder="1" applyAlignment="1">
      <alignment horizontal="center" vertical="center" wrapText="1"/>
    </xf>
    <xf numFmtId="0" fontId="116" fillId="0" borderId="3" xfId="271" applyFont="1" applyBorder="1" applyAlignment="1">
      <alignment horizontal="center" vertical="center" wrapText="1"/>
    </xf>
    <xf numFmtId="0" fontId="116" fillId="0" borderId="9" xfId="271" applyFont="1" applyBorder="1" applyAlignment="1">
      <alignment horizontal="center" vertical="center" wrapText="1"/>
    </xf>
    <xf numFmtId="0" fontId="116" fillId="0" borderId="8" xfId="271" applyFont="1" applyFill="1" applyBorder="1" applyAlignment="1">
      <alignment horizontal="center" vertical="center"/>
    </xf>
    <xf numFmtId="0" fontId="116" fillId="0" borderId="12" xfId="271" applyFont="1" applyFill="1" applyBorder="1" applyAlignment="1">
      <alignment horizontal="center" vertical="center"/>
    </xf>
    <xf numFmtId="0" fontId="116" fillId="0" borderId="11" xfId="271" applyFont="1" applyFill="1" applyBorder="1" applyAlignment="1">
      <alignment horizontal="center" vertical="center"/>
    </xf>
    <xf numFmtId="0" fontId="116" fillId="0" borderId="15" xfId="271" applyFont="1" applyFill="1" applyBorder="1" applyAlignment="1">
      <alignment horizontal="center" vertical="center"/>
    </xf>
    <xf numFmtId="0" fontId="116" fillId="0" borderId="1" xfId="271" applyFont="1" applyFill="1" applyBorder="1" applyAlignment="1">
      <alignment horizontal="center" vertical="center"/>
    </xf>
    <xf numFmtId="0" fontId="116" fillId="0" borderId="16" xfId="271" applyFont="1" applyFill="1" applyBorder="1" applyAlignment="1">
      <alignment horizontal="center" vertical="center"/>
    </xf>
    <xf numFmtId="0" fontId="112" fillId="0" borderId="2" xfId="0" applyFont="1" applyBorder="1" applyAlignment="1">
      <alignment horizontal="center" vertical="center" wrapText="1"/>
    </xf>
    <xf numFmtId="0" fontId="112" fillId="0" borderId="4" xfId="0" applyFont="1" applyBorder="1" applyAlignment="1">
      <alignment horizontal="center" vertical="center" wrapText="1"/>
    </xf>
    <xf numFmtId="0" fontId="112" fillId="0" borderId="5" xfId="0" applyFont="1" applyBorder="1" applyAlignment="1">
      <alignment horizontal="center" vertical="center" wrapText="1"/>
    </xf>
    <xf numFmtId="0" fontId="282" fillId="64" borderId="10" xfId="0" applyFont="1" applyFill="1" applyBorder="1" applyAlignment="1">
      <alignment horizontal="center" vertical="center" wrapText="1"/>
    </xf>
    <xf numFmtId="0" fontId="41" fillId="64" borderId="10" xfId="0" applyFont="1" applyFill="1" applyBorder="1" applyAlignment="1">
      <alignment horizontal="center" vertical="center"/>
    </xf>
    <xf numFmtId="0" fontId="116" fillId="0" borderId="7" xfId="271" applyFont="1" applyBorder="1" applyAlignment="1">
      <alignment horizontal="center" vertical="center" wrapText="1"/>
    </xf>
    <xf numFmtId="0" fontId="116" fillId="0" borderId="8" xfId="271" applyFont="1" applyFill="1" applyBorder="1" applyAlignment="1">
      <alignment horizontal="center" vertical="center" wrapText="1"/>
    </xf>
    <xf numFmtId="0" fontId="116" fillId="0" borderId="11" xfId="271" applyFont="1" applyFill="1" applyBorder="1" applyAlignment="1">
      <alignment horizontal="center" vertical="center" wrapText="1"/>
    </xf>
    <xf numFmtId="0" fontId="116" fillId="0" borderId="6" xfId="271" applyFont="1" applyFill="1" applyBorder="1" applyAlignment="1">
      <alignment horizontal="center" vertical="center" wrapText="1"/>
    </xf>
    <xf numFmtId="0" fontId="116" fillId="0" borderId="14" xfId="271" applyFont="1" applyFill="1" applyBorder="1" applyAlignment="1">
      <alignment horizontal="center" vertical="center" wrapText="1"/>
    </xf>
    <xf numFmtId="0" fontId="116" fillId="0" borderId="15" xfId="271" applyFont="1" applyFill="1" applyBorder="1" applyAlignment="1">
      <alignment horizontal="center" vertical="center" wrapText="1"/>
    </xf>
    <xf numFmtId="0" fontId="116" fillId="0" borderId="16" xfId="271" applyFont="1" applyFill="1" applyBorder="1" applyAlignment="1">
      <alignment horizontal="center" vertical="center" wrapText="1"/>
    </xf>
    <xf numFmtId="2" fontId="7" fillId="0" borderId="10" xfId="271" applyNumberFormat="1" applyFont="1" applyBorder="1" applyAlignment="1">
      <alignment horizontal="center" vertical="center" wrapText="1"/>
    </xf>
    <xf numFmtId="0" fontId="116" fillId="0" borderId="2" xfId="271" applyFont="1" applyFill="1" applyBorder="1" applyAlignment="1">
      <alignment horizontal="center" vertical="center"/>
    </xf>
    <xf numFmtId="0" fontId="116" fillId="0" borderId="4" xfId="271" applyFont="1" applyFill="1" applyBorder="1" applyAlignment="1">
      <alignment horizontal="center" vertical="center"/>
    </xf>
    <xf numFmtId="0" fontId="116" fillId="0" borderId="5" xfId="271" applyFont="1" applyFill="1" applyBorder="1" applyAlignment="1">
      <alignment horizontal="center" vertical="center"/>
    </xf>
    <xf numFmtId="0" fontId="41" fillId="2" borderId="8" xfId="271" applyFont="1" applyFill="1" applyBorder="1" applyAlignment="1">
      <alignment horizontal="center" vertical="center"/>
    </xf>
    <xf numFmtId="0" fontId="41" fillId="2" borderId="12" xfId="271" applyFont="1" applyFill="1" applyBorder="1" applyAlignment="1">
      <alignment horizontal="center" vertical="center"/>
    </xf>
    <xf numFmtId="0" fontId="41" fillId="2" borderId="11" xfId="271" applyFont="1" applyFill="1" applyBorder="1" applyAlignment="1">
      <alignment horizontal="center" vertical="center"/>
    </xf>
    <xf numFmtId="0" fontId="41" fillId="2" borderId="15" xfId="271" applyFont="1" applyFill="1" applyBorder="1" applyAlignment="1">
      <alignment horizontal="center" vertical="center"/>
    </xf>
    <xf numFmtId="0" fontId="41" fillId="2" borderId="1" xfId="271" applyFont="1" applyFill="1" applyBorder="1" applyAlignment="1">
      <alignment horizontal="center" vertical="center"/>
    </xf>
    <xf numFmtId="0" fontId="41" fillId="2" borderId="16" xfId="271" applyFont="1" applyFill="1" applyBorder="1" applyAlignment="1">
      <alignment horizontal="center" vertical="center"/>
    </xf>
    <xf numFmtId="0" fontId="83" fillId="0" borderId="0" xfId="374" applyFont="1" applyBorder="1" applyAlignment="1" applyProtection="1">
      <alignment horizontal="center" vertical="top"/>
      <protection hidden="1"/>
    </xf>
    <xf numFmtId="1" fontId="118" fillId="0" borderId="1" xfId="362" applyNumberFormat="1" applyFont="1" applyFill="1" applyBorder="1" applyAlignment="1" applyProtection="1">
      <alignment horizontal="right" vertical="center" wrapText="1"/>
    </xf>
    <xf numFmtId="0" fontId="116" fillId="0" borderId="3" xfId="271" applyFont="1" applyFill="1" applyBorder="1" applyAlignment="1">
      <alignment horizontal="center" vertical="center" wrapText="1"/>
    </xf>
    <xf numFmtId="0" fontId="116" fillId="0" borderId="7" xfId="271" applyFont="1" applyFill="1" applyBorder="1" applyAlignment="1">
      <alignment horizontal="center" vertical="center" wrapText="1"/>
    </xf>
    <xf numFmtId="0" fontId="116" fillId="0" borderId="9" xfId="271" applyFont="1" applyFill="1" applyBorder="1" applyAlignment="1">
      <alignment horizontal="center" vertical="center" wrapText="1"/>
    </xf>
    <xf numFmtId="0" fontId="3" fillId="0" borderId="3" xfId="271" applyFont="1" applyBorder="1" applyAlignment="1">
      <alignment horizontal="center"/>
    </xf>
    <xf numFmtId="0" fontId="3" fillId="0" borderId="7" xfId="271" applyFont="1" applyBorder="1" applyAlignment="1">
      <alignment horizontal="center"/>
    </xf>
    <xf numFmtId="0" fontId="3" fillId="0" borderId="9" xfId="271" applyFont="1" applyBorder="1" applyAlignment="1">
      <alignment horizontal="center"/>
    </xf>
    <xf numFmtId="0" fontId="116" fillId="0" borderId="2" xfId="271" applyFont="1" applyBorder="1" applyAlignment="1">
      <alignment horizontal="center" vertical="center" wrapText="1"/>
    </xf>
    <xf numFmtId="0" fontId="116" fillId="0" borderId="4" xfId="271" applyFont="1" applyBorder="1" applyAlignment="1">
      <alignment horizontal="center" vertical="center" wrapText="1"/>
    </xf>
    <xf numFmtId="0" fontId="116" fillId="0" borderId="5" xfId="271" applyFont="1" applyBorder="1" applyAlignment="1">
      <alignment horizontal="center" vertical="center" wrapText="1"/>
    </xf>
    <xf numFmtId="0" fontId="146" fillId="2" borderId="10" xfId="378" applyFont="1" applyFill="1" applyBorder="1" applyAlignment="1">
      <alignment horizontal="center" vertical="center" wrapText="1"/>
    </xf>
    <xf numFmtId="0" fontId="146" fillId="2" borderId="3" xfId="378" applyFont="1" applyFill="1" applyBorder="1" applyAlignment="1">
      <alignment horizontal="center" vertical="center" wrapText="1"/>
    </xf>
    <xf numFmtId="0" fontId="146" fillId="2" borderId="10" xfId="378" applyFont="1" applyFill="1" applyBorder="1" applyAlignment="1">
      <alignment horizontal="center" wrapText="1"/>
    </xf>
    <xf numFmtId="0" fontId="144" fillId="2" borderId="10" xfId="378" applyFont="1" applyFill="1" applyBorder="1" applyAlignment="1">
      <alignment horizontal="center" wrapText="1"/>
    </xf>
    <xf numFmtId="173" fontId="146" fillId="2" borderId="10" xfId="378" applyNumberFormat="1" applyFont="1" applyFill="1" applyBorder="1" applyAlignment="1">
      <alignment horizontal="center" vertical="center" wrapText="1"/>
    </xf>
    <xf numFmtId="173" fontId="146" fillId="2" borderId="3" xfId="378" applyNumberFormat="1" applyFont="1" applyFill="1" applyBorder="1" applyAlignment="1">
      <alignment horizontal="center" vertical="center" wrapText="1"/>
    </xf>
    <xf numFmtId="0" fontId="146" fillId="2" borderId="8" xfId="378" applyFont="1" applyFill="1" applyBorder="1" applyAlignment="1">
      <alignment horizontal="center" wrapText="1"/>
    </xf>
    <xf numFmtId="0" fontId="146" fillId="2" borderId="11" xfId="378" applyFont="1" applyFill="1" applyBorder="1" applyAlignment="1">
      <alignment horizontal="center" wrapText="1"/>
    </xf>
    <xf numFmtId="4" fontId="8" fillId="0" borderId="10" xfId="378" applyNumberFormat="1" applyFont="1" applyFill="1" applyBorder="1" applyAlignment="1">
      <alignment horizontal="center" vertical="center" wrapText="1"/>
    </xf>
    <xf numFmtId="0" fontId="144" fillId="0" borderId="10" xfId="378" applyNumberFormat="1" applyFont="1" applyFill="1" applyBorder="1" applyAlignment="1">
      <alignment horizontal="center" vertical="center" wrapText="1"/>
    </xf>
    <xf numFmtId="0" fontId="144" fillId="0" borderId="10" xfId="378" applyFont="1" applyBorder="1" applyAlignment="1">
      <alignment horizontal="center" vertical="center" wrapText="1"/>
    </xf>
    <xf numFmtId="0" fontId="144" fillId="0" borderId="46" xfId="378" applyFont="1" applyBorder="1" applyAlignment="1">
      <alignment horizontal="center" vertical="center" wrapText="1"/>
    </xf>
    <xf numFmtId="0" fontId="8" fillId="0" borderId="10" xfId="378" applyFont="1" applyFill="1" applyBorder="1" applyAlignment="1">
      <alignment wrapText="1"/>
    </xf>
    <xf numFmtId="2" fontId="12" fillId="0" borderId="10" xfId="170" applyNumberFormat="1" applyFont="1" applyFill="1" applyBorder="1" applyAlignment="1">
      <alignment horizontal="center" vertical="center" wrapText="1"/>
    </xf>
    <xf numFmtId="0" fontId="8" fillId="0" borderId="10" xfId="378" applyFont="1" applyFill="1" applyBorder="1" applyAlignment="1">
      <alignment horizontal="center" vertical="center" wrapText="1"/>
    </xf>
    <xf numFmtId="0" fontId="8" fillId="0" borderId="10" xfId="378" applyFont="1" applyFill="1" applyBorder="1" applyAlignment="1">
      <alignment horizontal="center" wrapText="1"/>
    </xf>
    <xf numFmtId="0" fontId="8" fillId="0" borderId="46" xfId="378" applyFont="1" applyFill="1" applyBorder="1" applyAlignment="1">
      <alignment horizontal="center" wrapText="1"/>
    </xf>
    <xf numFmtId="2" fontId="12" fillId="0" borderId="46" xfId="170" applyNumberFormat="1" applyFont="1" applyFill="1" applyBorder="1" applyAlignment="1">
      <alignment horizontal="center" vertical="center" wrapText="1"/>
    </xf>
    <xf numFmtId="0" fontId="8" fillId="0" borderId="46" xfId="378" applyFont="1" applyFill="1" applyBorder="1" applyAlignment="1">
      <alignment horizontal="center" vertical="center" wrapText="1"/>
    </xf>
    <xf numFmtId="0" fontId="144" fillId="0" borderId="9" xfId="378" applyNumberFormat="1" applyFont="1" applyFill="1" applyBorder="1" applyAlignment="1">
      <alignment horizontal="center" vertical="center" wrapText="1"/>
    </xf>
    <xf numFmtId="4" fontId="8" fillId="0" borderId="9" xfId="378" applyNumberFormat="1" applyFont="1" applyFill="1" applyBorder="1" applyAlignment="1">
      <alignment horizontal="center" vertical="center" wrapText="1"/>
    </xf>
    <xf numFmtId="4" fontId="8" fillId="0" borderId="8" xfId="378" applyNumberFormat="1" applyFont="1" applyFill="1" applyBorder="1" applyAlignment="1">
      <alignment horizontal="center" vertical="center" wrapText="1"/>
    </xf>
    <xf numFmtId="4" fontId="8" fillId="0" borderId="12" xfId="378" applyNumberFormat="1" applyFont="1" applyFill="1" applyBorder="1" applyAlignment="1">
      <alignment horizontal="center" vertical="center" wrapText="1"/>
    </xf>
    <xf numFmtId="4" fontId="8" fillId="0" borderId="11" xfId="378" applyNumberFormat="1" applyFont="1" applyFill="1" applyBorder="1" applyAlignment="1">
      <alignment horizontal="center" vertical="center" wrapText="1"/>
    </xf>
    <xf numFmtId="4" fontId="8" fillId="0" borderId="15" xfId="378" applyNumberFormat="1" applyFont="1" applyFill="1" applyBorder="1" applyAlignment="1">
      <alignment horizontal="center" vertical="center" wrapText="1"/>
    </xf>
    <xf numFmtId="4" fontId="8" fillId="0" borderId="1" xfId="378" applyNumberFormat="1" applyFont="1" applyFill="1" applyBorder="1" applyAlignment="1">
      <alignment horizontal="center" vertical="center" wrapText="1"/>
    </xf>
    <xf numFmtId="4" fontId="8" fillId="0" borderId="16" xfId="378" applyNumberFormat="1" applyFont="1" applyFill="1" applyBorder="1" applyAlignment="1">
      <alignment horizontal="center" vertical="center" wrapText="1"/>
    </xf>
    <xf numFmtId="4" fontId="8" fillId="0" borderId="2" xfId="378" applyNumberFormat="1" applyFont="1" applyFill="1" applyBorder="1" applyAlignment="1">
      <alignment horizontal="center" vertical="center" wrapText="1"/>
    </xf>
    <xf numFmtId="4" fontId="8" fillId="0" borderId="4" xfId="378" applyNumberFormat="1" applyFont="1" applyFill="1" applyBorder="1" applyAlignment="1">
      <alignment horizontal="center" vertical="center" wrapText="1"/>
    </xf>
    <xf numFmtId="4" fontId="8" fillId="0" borderId="5" xfId="378" applyNumberFormat="1" applyFont="1" applyFill="1" applyBorder="1" applyAlignment="1">
      <alignment horizontal="center" vertical="center" wrapText="1"/>
    </xf>
    <xf numFmtId="0" fontId="8" fillId="0" borderId="2" xfId="378" applyNumberFormat="1" applyFont="1" applyFill="1" applyBorder="1" applyAlignment="1">
      <alignment horizontal="center" vertical="center" wrapText="1"/>
    </xf>
    <xf numFmtId="0" fontId="8" fillId="0" borderId="4" xfId="378" applyNumberFormat="1" applyFont="1" applyFill="1" applyBorder="1" applyAlignment="1">
      <alignment horizontal="center" vertical="center" wrapText="1"/>
    </xf>
    <xf numFmtId="0" fontId="8" fillId="0" borderId="5" xfId="378" applyNumberFormat="1" applyFont="1" applyFill="1" applyBorder="1" applyAlignment="1">
      <alignment horizontal="center" vertical="center" wrapText="1"/>
    </xf>
    <xf numFmtId="4" fontId="8" fillId="0" borderId="51" xfId="378" applyNumberFormat="1" applyFont="1" applyFill="1" applyBorder="1" applyAlignment="1">
      <alignment horizontal="center" vertical="center" wrapText="1"/>
    </xf>
    <xf numFmtId="4" fontId="8" fillId="0" borderId="78" xfId="378" applyNumberFormat="1" applyFont="1" applyFill="1" applyBorder="1" applyAlignment="1">
      <alignment horizontal="center" vertical="center" wrapText="1"/>
    </xf>
    <xf numFmtId="4" fontId="8" fillId="0" borderId="79" xfId="378" applyNumberFormat="1" applyFont="1" applyFill="1" applyBorder="1" applyAlignment="1">
      <alignment horizontal="center" vertical="center" wrapText="1"/>
    </xf>
    <xf numFmtId="0" fontId="144" fillId="0" borderId="3" xfId="378" applyNumberFormat="1" applyFont="1" applyFill="1" applyBorder="1" applyAlignment="1">
      <alignment horizontal="center" vertical="center" wrapText="1"/>
    </xf>
    <xf numFmtId="0" fontId="144" fillId="0" borderId="50" xfId="378" applyNumberFormat="1" applyFont="1" applyFill="1" applyBorder="1" applyAlignment="1">
      <alignment horizontal="center" vertical="center" wrapText="1"/>
    </xf>
    <xf numFmtId="0" fontId="8" fillId="0" borderId="9" xfId="378" applyNumberFormat="1" applyFont="1" applyFill="1" applyBorder="1" applyAlignment="1">
      <alignment horizontal="center" vertical="center" wrapText="1"/>
    </xf>
    <xf numFmtId="0" fontId="144" fillId="0" borderId="48" xfId="378" applyFont="1" applyBorder="1" applyAlignment="1">
      <alignment horizontal="center" vertical="center" wrapText="1"/>
    </xf>
    <xf numFmtId="0" fontId="144" fillId="0" borderId="9" xfId="378" applyFont="1" applyBorder="1" applyAlignment="1">
      <alignment horizontal="center" vertical="center" wrapText="1"/>
    </xf>
    <xf numFmtId="0" fontId="8" fillId="0" borderId="48" xfId="378" applyFont="1" applyFill="1" applyBorder="1" applyAlignment="1">
      <alignment horizontal="center" vertical="center" wrapText="1"/>
    </xf>
    <xf numFmtId="0" fontId="8" fillId="0" borderId="9" xfId="378" applyFont="1" applyFill="1" applyBorder="1" applyAlignment="1">
      <alignment horizontal="center" vertical="center" wrapText="1"/>
    </xf>
    <xf numFmtId="2" fontId="12" fillId="0" borderId="48" xfId="190" applyNumberFormat="1" applyFont="1" applyFill="1" applyBorder="1" applyAlignment="1">
      <alignment horizontal="center" vertical="center" wrapText="1"/>
    </xf>
    <xf numFmtId="2" fontId="12" fillId="0" borderId="9" xfId="190" applyNumberFormat="1" applyFont="1" applyFill="1" applyBorder="1" applyAlignment="1">
      <alignment horizontal="center" vertical="center" wrapText="1"/>
    </xf>
    <xf numFmtId="2" fontId="12" fillId="0" borderId="10" xfId="190" applyNumberFormat="1" applyFont="1" applyFill="1" applyBorder="1" applyAlignment="1">
      <alignment horizontal="center" vertical="center" wrapText="1"/>
    </xf>
    <xf numFmtId="4" fontId="8" fillId="0" borderId="48" xfId="378" applyNumberFormat="1" applyFont="1" applyFill="1" applyBorder="1" applyAlignment="1">
      <alignment horizontal="center" vertical="center" wrapText="1"/>
    </xf>
    <xf numFmtId="0" fontId="8" fillId="0" borderId="48" xfId="378" applyNumberFormat="1" applyFont="1" applyFill="1" applyBorder="1" applyAlignment="1">
      <alignment horizontal="center" vertical="center" wrapText="1"/>
    </xf>
    <xf numFmtId="0" fontId="144" fillId="0" borderId="48" xfId="378" applyNumberFormat="1" applyFont="1" applyFill="1" applyBorder="1" applyAlignment="1">
      <alignment horizontal="center" vertical="center" wrapText="1"/>
    </xf>
    <xf numFmtId="0" fontId="8" fillId="0" borderId="9" xfId="378" applyFont="1" applyFill="1" applyBorder="1" applyAlignment="1">
      <alignment wrapText="1"/>
    </xf>
    <xf numFmtId="0" fontId="8" fillId="0" borderId="2" xfId="378" applyFont="1" applyFill="1" applyBorder="1" applyAlignment="1">
      <alignment horizontal="center" vertical="center" wrapText="1"/>
    </xf>
    <xf numFmtId="0" fontId="8" fillId="0" borderId="4" xfId="378" applyFont="1" applyFill="1" applyBorder="1" applyAlignment="1">
      <alignment horizontal="center" vertical="center" wrapText="1"/>
    </xf>
    <xf numFmtId="0" fontId="8" fillId="0" borderId="5" xfId="378" applyFont="1" applyFill="1" applyBorder="1" applyAlignment="1">
      <alignment horizontal="center" vertical="center" wrapText="1"/>
    </xf>
    <xf numFmtId="49" fontId="8" fillId="0" borderId="2" xfId="378" applyNumberFormat="1" applyFont="1" applyFill="1" applyBorder="1" applyAlignment="1">
      <alignment horizontal="center" vertical="center" wrapText="1"/>
    </xf>
    <xf numFmtId="49" fontId="8" fillId="0" borderId="4" xfId="378" applyNumberFormat="1" applyFont="1" applyFill="1" applyBorder="1" applyAlignment="1">
      <alignment horizontal="center" vertical="center" wrapText="1"/>
    </xf>
    <xf numFmtId="49" fontId="8" fillId="0" borderId="5" xfId="378" applyNumberFormat="1" applyFont="1" applyFill="1" applyBorder="1" applyAlignment="1">
      <alignment horizontal="center" vertical="center" wrapText="1"/>
    </xf>
    <xf numFmtId="0" fontId="144" fillId="0" borderId="7" xfId="378" applyFont="1" applyBorder="1" applyAlignment="1">
      <alignment horizontal="center" vertical="center" wrapText="1"/>
    </xf>
    <xf numFmtId="0" fontId="144" fillId="0" borderId="50" xfId="378" applyFont="1" applyBorder="1" applyAlignment="1">
      <alignment horizontal="center" vertical="center" wrapText="1"/>
    </xf>
    <xf numFmtId="0" fontId="8" fillId="0" borderId="52" xfId="378" applyFont="1" applyFill="1" applyBorder="1" applyAlignment="1">
      <alignment horizontal="center" wrapText="1"/>
    </xf>
    <xf numFmtId="0" fontId="8" fillId="0" borderId="7" xfId="378" applyFont="1" applyFill="1" applyBorder="1" applyAlignment="1">
      <alignment horizontal="center" wrapText="1"/>
    </xf>
    <xf numFmtId="0" fontId="8" fillId="0" borderId="9" xfId="378" applyFont="1" applyFill="1" applyBorder="1" applyAlignment="1">
      <alignment horizontal="center" wrapText="1"/>
    </xf>
    <xf numFmtId="2" fontId="12" fillId="0" borderId="52" xfId="170" applyNumberFormat="1" applyFont="1" applyFill="1" applyBorder="1" applyAlignment="1">
      <alignment horizontal="center" vertical="center" wrapText="1"/>
    </xf>
    <xf numFmtId="2" fontId="12" fillId="0" borderId="7" xfId="170" applyNumberFormat="1" applyFont="1" applyFill="1" applyBorder="1" applyAlignment="1">
      <alignment horizontal="center" vertical="center" wrapText="1"/>
    </xf>
    <xf numFmtId="2" fontId="12" fillId="0" borderId="9" xfId="170" applyNumberFormat="1" applyFont="1" applyFill="1" applyBorder="1" applyAlignment="1">
      <alignment horizontal="center" vertical="center" wrapText="1"/>
    </xf>
    <xf numFmtId="0" fontId="8" fillId="0" borderId="84" xfId="378" applyFont="1" applyFill="1" applyBorder="1" applyAlignment="1">
      <alignment horizontal="center" vertical="center" wrapText="1"/>
    </xf>
    <xf numFmtId="0" fontId="8" fillId="0" borderId="83" xfId="378" applyFont="1" applyFill="1" applyBorder="1" applyAlignment="1">
      <alignment horizontal="center" vertical="center" wrapText="1"/>
    </xf>
    <xf numFmtId="0" fontId="8" fillId="0" borderId="0" xfId="378" applyFont="1" applyFill="1" applyBorder="1" applyAlignment="1">
      <alignment horizontal="center" vertical="center" wrapText="1"/>
    </xf>
    <xf numFmtId="0" fontId="8" fillId="0" borderId="14" xfId="378" applyFont="1" applyFill="1" applyBorder="1" applyAlignment="1">
      <alignment horizontal="center" vertical="center" wrapText="1"/>
    </xf>
    <xf numFmtId="0" fontId="8" fillId="0" borderId="1" xfId="378" applyFont="1" applyFill="1" applyBorder="1" applyAlignment="1">
      <alignment horizontal="center" vertical="center" wrapText="1"/>
    </xf>
    <xf numFmtId="0" fontId="8" fillId="0" borderId="16" xfId="378" applyFont="1" applyFill="1" applyBorder="1" applyAlignment="1">
      <alignment horizontal="center" vertical="center" wrapText="1"/>
    </xf>
    <xf numFmtId="0" fontId="144" fillId="0" borderId="7" xfId="378" applyNumberFormat="1" applyFont="1" applyFill="1" applyBorder="1" applyAlignment="1">
      <alignment horizontal="center" vertical="center" wrapText="1"/>
    </xf>
    <xf numFmtId="0" fontId="144" fillId="0" borderId="5" xfId="378" applyNumberFormat="1" applyFont="1" applyFill="1" applyBorder="1" applyAlignment="1">
      <alignment horizontal="center" vertical="center" wrapText="1"/>
    </xf>
    <xf numFmtId="4" fontId="8" fillId="0" borderId="6" xfId="378" applyNumberFormat="1" applyFont="1" applyFill="1" applyBorder="1" applyAlignment="1">
      <alignment horizontal="center" vertical="center" wrapText="1"/>
    </xf>
    <xf numFmtId="4" fontId="8" fillId="0" borderId="0" xfId="378" applyNumberFormat="1" applyFont="1" applyFill="1" applyBorder="1" applyAlignment="1">
      <alignment horizontal="center" vertical="center" wrapText="1"/>
    </xf>
    <xf numFmtId="4" fontId="8" fillId="0" borderId="14" xfId="378" applyNumberFormat="1" applyFont="1" applyFill="1" applyBorder="1" applyAlignment="1">
      <alignment horizontal="center" vertical="center" wrapText="1"/>
    </xf>
    <xf numFmtId="49" fontId="8" fillId="0" borderId="47" xfId="378" applyNumberFormat="1" applyFont="1" applyFill="1" applyBorder="1" applyAlignment="1">
      <alignment horizontal="center" vertical="center" wrapText="1"/>
    </xf>
    <xf numFmtId="49" fontId="8" fillId="0" borderId="80" xfId="378" applyNumberFormat="1" applyFont="1" applyFill="1" applyBorder="1" applyAlignment="1">
      <alignment horizontal="center" vertical="center" wrapText="1"/>
    </xf>
    <xf numFmtId="49" fontId="8" fillId="0" borderId="81" xfId="378" applyNumberFormat="1" applyFont="1" applyFill="1" applyBorder="1" applyAlignment="1">
      <alignment horizontal="center" vertical="center" wrapText="1"/>
    </xf>
    <xf numFmtId="0" fontId="8" fillId="0" borderId="6" xfId="378" applyFont="1" applyFill="1" applyBorder="1" applyAlignment="1">
      <alignment horizontal="center" vertical="center" wrapText="1"/>
    </xf>
    <xf numFmtId="0" fontId="8" fillId="0" borderId="15" xfId="378" applyFont="1" applyFill="1" applyBorder="1" applyAlignment="1">
      <alignment horizontal="center" vertical="center" wrapText="1"/>
    </xf>
    <xf numFmtId="4" fontId="8" fillId="0" borderId="82" xfId="378" applyNumberFormat="1" applyFont="1" applyFill="1" applyBorder="1" applyAlignment="1">
      <alignment horizontal="center" vertical="center" wrapText="1"/>
    </xf>
    <xf numFmtId="4" fontId="8" fillId="0" borderId="84" xfId="378" applyNumberFormat="1" applyFont="1" applyFill="1" applyBorder="1" applyAlignment="1">
      <alignment horizontal="center" vertical="center" wrapText="1"/>
    </xf>
    <xf numFmtId="4" fontId="8" fillId="0" borderId="83" xfId="378" applyNumberFormat="1" applyFont="1" applyFill="1" applyBorder="1" applyAlignment="1">
      <alignment horizontal="center" vertical="center" wrapText="1"/>
    </xf>
    <xf numFmtId="0" fontId="144" fillId="0" borderId="52" xfId="378" applyFont="1" applyBorder="1" applyAlignment="1">
      <alignment horizontal="center" vertical="center" wrapText="1"/>
    </xf>
    <xf numFmtId="0" fontId="8" fillId="0" borderId="52" xfId="378" applyNumberFormat="1" applyFont="1" applyFill="1" applyBorder="1" applyAlignment="1">
      <alignment horizontal="center" vertical="center" wrapText="1"/>
    </xf>
    <xf numFmtId="0" fontId="8" fillId="0" borderId="51" xfId="378" applyFont="1" applyFill="1" applyBorder="1" applyAlignment="1">
      <alignment horizontal="center" vertical="center" wrapText="1"/>
    </xf>
    <xf numFmtId="0" fontId="8" fillId="0" borderId="78" xfId="378" applyFont="1" applyFill="1" applyBorder="1" applyAlignment="1">
      <alignment horizontal="center" vertical="center" wrapText="1"/>
    </xf>
    <xf numFmtId="0" fontId="8" fillId="0" borderId="79" xfId="378" applyFont="1" applyFill="1" applyBorder="1" applyAlignment="1">
      <alignment horizontal="center" vertical="center" wrapText="1"/>
    </xf>
    <xf numFmtId="0" fontId="144" fillId="0" borderId="52" xfId="378" applyNumberFormat="1" applyFont="1" applyFill="1" applyBorder="1" applyAlignment="1">
      <alignment horizontal="center" vertical="center" wrapText="1"/>
    </xf>
    <xf numFmtId="0" fontId="8" fillId="0" borderId="47" xfId="378" applyFont="1" applyFill="1" applyBorder="1" applyAlignment="1">
      <alignment horizontal="center" vertical="center" wrapText="1"/>
    </xf>
    <xf numFmtId="0" fontId="8" fillId="0" borderId="81" xfId="378" applyFont="1" applyFill="1" applyBorder="1" applyAlignment="1">
      <alignment horizontal="center" vertical="center" wrapText="1"/>
    </xf>
    <xf numFmtId="4" fontId="8" fillId="0" borderId="46" xfId="378" applyNumberFormat="1" applyFont="1" applyFill="1" applyBorder="1" applyAlignment="1">
      <alignment horizontal="center" vertical="center" wrapText="1"/>
    </xf>
    <xf numFmtId="0" fontId="8" fillId="0" borderId="10" xfId="378" applyFont="1" applyFill="1" applyBorder="1" applyAlignment="1">
      <alignment vertical="center" wrapText="1"/>
    </xf>
    <xf numFmtId="49" fontId="8" fillId="0" borderId="8" xfId="378" applyNumberFormat="1" applyFont="1" applyFill="1" applyBorder="1" applyAlignment="1">
      <alignment horizontal="center" vertical="center" wrapText="1"/>
    </xf>
    <xf numFmtId="49" fontId="8" fillId="0" borderId="12" xfId="378" applyNumberFormat="1" applyFont="1" applyFill="1" applyBorder="1" applyAlignment="1">
      <alignment horizontal="center" vertical="center" wrapText="1"/>
    </xf>
    <xf numFmtId="49" fontId="8" fillId="0" borderId="11" xfId="378" applyNumberFormat="1" applyFont="1" applyFill="1" applyBorder="1" applyAlignment="1">
      <alignment horizontal="center" vertical="center" wrapText="1"/>
    </xf>
    <xf numFmtId="49" fontId="8" fillId="0" borderId="15" xfId="378" applyNumberFormat="1" applyFont="1" applyFill="1" applyBorder="1" applyAlignment="1">
      <alignment horizontal="center" vertical="center" wrapText="1"/>
    </xf>
    <xf numFmtId="49" fontId="8" fillId="0" borderId="1" xfId="378" applyNumberFormat="1" applyFont="1" applyFill="1" applyBorder="1" applyAlignment="1">
      <alignment horizontal="center" vertical="center" wrapText="1"/>
    </xf>
    <xf numFmtId="49" fontId="8" fillId="0" borderId="16" xfId="378" applyNumberFormat="1" applyFont="1" applyFill="1" applyBorder="1" applyAlignment="1">
      <alignment horizontal="center" vertical="center" wrapText="1"/>
    </xf>
    <xf numFmtId="0" fontId="144" fillId="0" borderId="3" xfId="378" applyFont="1" applyFill="1" applyBorder="1" applyAlignment="1">
      <alignment horizontal="center" vertical="center"/>
    </xf>
    <xf numFmtId="0" fontId="144" fillId="0" borderId="9" xfId="378" applyFont="1" applyFill="1" applyBorder="1" applyAlignment="1">
      <alignment horizontal="center" vertical="center"/>
    </xf>
    <xf numFmtId="0" fontId="144" fillId="0" borderId="10" xfId="378" applyFont="1" applyBorder="1" applyAlignment="1">
      <alignment horizontal="left" vertical="center" wrapText="1"/>
    </xf>
    <xf numFmtId="0" fontId="8" fillId="0" borderId="3" xfId="378" applyFont="1" applyFill="1" applyBorder="1" applyAlignment="1">
      <alignment vertical="center" wrapText="1"/>
    </xf>
    <xf numFmtId="0" fontId="8" fillId="0" borderId="9" xfId="378" applyFont="1" applyFill="1" applyBorder="1" applyAlignment="1">
      <alignment vertical="center" wrapText="1"/>
    </xf>
    <xf numFmtId="49" fontId="8" fillId="0" borderId="6" xfId="378" applyNumberFormat="1" applyFont="1" applyFill="1" applyBorder="1" applyAlignment="1">
      <alignment horizontal="center" vertical="center" wrapText="1"/>
    </xf>
    <xf numFmtId="49" fontId="8" fillId="0" borderId="0" xfId="378" applyNumberFormat="1" applyFont="1" applyFill="1" applyBorder="1" applyAlignment="1">
      <alignment horizontal="center" vertical="center" wrapText="1"/>
    </xf>
    <xf numFmtId="49" fontId="8" fillId="0" borderId="14" xfId="378" applyNumberFormat="1" applyFont="1" applyFill="1" applyBorder="1" applyAlignment="1">
      <alignment horizontal="center" vertical="center" wrapText="1"/>
    </xf>
    <xf numFmtId="49" fontId="8" fillId="0" borderId="10" xfId="378" applyNumberFormat="1" applyFont="1" applyFill="1" applyBorder="1" applyAlignment="1">
      <alignment horizontal="center" vertical="center" wrapText="1"/>
    </xf>
    <xf numFmtId="0" fontId="8" fillId="0" borderId="8" xfId="378" applyFont="1" applyFill="1" applyBorder="1" applyAlignment="1">
      <alignment horizontal="center" vertical="center" wrapText="1"/>
    </xf>
    <xf numFmtId="0" fontId="8" fillId="0" borderId="11" xfId="378" applyFont="1" applyFill="1" applyBorder="1" applyAlignment="1">
      <alignment horizontal="center" vertical="center" wrapText="1"/>
    </xf>
    <xf numFmtId="0" fontId="12" fillId="0" borderId="10" xfId="378" applyFont="1" applyFill="1" applyBorder="1" applyAlignment="1">
      <alignment horizontal="center" vertical="center" wrapText="1"/>
    </xf>
    <xf numFmtId="0" fontId="144" fillId="0" borderId="0" xfId="378" applyFont="1" applyAlignment="1">
      <alignment horizontal="left" wrapText="1"/>
    </xf>
    <xf numFmtId="0" fontId="89" fillId="0" borderId="90" xfId="378" applyFont="1" applyBorder="1" applyAlignment="1">
      <alignment horizontal="center"/>
    </xf>
    <xf numFmtId="0" fontId="123" fillId="0" borderId="89" xfId="378" applyFont="1" applyBorder="1" applyAlignment="1">
      <alignment horizontal="center"/>
    </xf>
    <xf numFmtId="2" fontId="12" fillId="0" borderId="3" xfId="170" applyNumberFormat="1" applyFont="1" applyFill="1" applyBorder="1" applyAlignment="1">
      <alignment horizontal="center" vertical="center" wrapText="1"/>
    </xf>
    <xf numFmtId="0" fontId="8" fillId="0" borderId="12" xfId="378" applyFont="1" applyFill="1" applyBorder="1" applyAlignment="1">
      <alignment horizontal="center" vertical="center" wrapText="1"/>
    </xf>
    <xf numFmtId="0" fontId="31" fillId="0" borderId="0" xfId="394" applyFont="1" applyBorder="1" applyAlignment="1">
      <alignment horizontal="center"/>
    </xf>
    <xf numFmtId="0" fontId="31" fillId="0" borderId="90" xfId="394" applyFont="1" applyBorder="1" applyAlignment="1">
      <alignment horizontal="center"/>
    </xf>
    <xf numFmtId="0" fontId="38" fillId="0" borderId="0" xfId="374" applyFont="1" applyBorder="1" applyAlignment="1" applyProtection="1">
      <alignment horizontal="center"/>
      <protection hidden="1"/>
    </xf>
    <xf numFmtId="0" fontId="12" fillId="42" borderId="44" xfId="372" applyFont="1" applyFill="1" applyBorder="1" applyAlignment="1">
      <alignment horizontal="center"/>
    </xf>
    <xf numFmtId="0" fontId="12" fillId="42" borderId="44" xfId="372" applyNumberFormat="1" applyFont="1" applyFill="1" applyBorder="1" applyAlignment="1">
      <alignment horizontal="center" vertical="top"/>
    </xf>
    <xf numFmtId="0" fontId="12" fillId="42" borderId="72" xfId="372" applyNumberFormat="1" applyFont="1" applyFill="1" applyBorder="1" applyAlignment="1">
      <alignment horizontal="center" vertical="top"/>
    </xf>
    <xf numFmtId="3" fontId="8" fillId="0" borderId="44" xfId="394" applyNumberFormat="1" applyFont="1" applyFill="1" applyBorder="1" applyAlignment="1">
      <alignment horizontal="center"/>
    </xf>
    <xf numFmtId="3" fontId="8" fillId="0" borderId="72" xfId="394" applyNumberFormat="1" applyFont="1" applyFill="1" applyBorder="1" applyAlignment="1">
      <alignment horizontal="center"/>
    </xf>
    <xf numFmtId="0" fontId="12" fillId="42" borderId="44" xfId="372" applyFont="1" applyFill="1" applyBorder="1" applyAlignment="1">
      <alignment horizontal="center" vertical="top" wrapText="1"/>
    </xf>
    <xf numFmtId="0" fontId="12" fillId="42" borderId="72" xfId="372" applyFont="1" applyFill="1" applyBorder="1" applyAlignment="1">
      <alignment horizontal="center" vertical="top" wrapText="1"/>
    </xf>
    <xf numFmtId="3" fontId="8" fillId="0" borderId="44" xfId="281" applyNumberFormat="1" applyFont="1" applyFill="1" applyBorder="1" applyAlignment="1">
      <alignment horizontal="center"/>
    </xf>
    <xf numFmtId="3" fontId="8" fillId="0" borderId="72" xfId="281" applyNumberFormat="1" applyFont="1" applyFill="1" applyBorder="1" applyAlignment="1">
      <alignment horizontal="center"/>
    </xf>
    <xf numFmtId="3" fontId="8" fillId="0" borderId="44" xfId="281" applyNumberFormat="1" applyFont="1" applyFill="1" applyBorder="1" applyAlignment="1">
      <alignment horizontal="center" vertical="center"/>
    </xf>
    <xf numFmtId="3" fontId="8" fillId="0" borderId="72" xfId="281" applyNumberFormat="1" applyFont="1" applyFill="1" applyBorder="1" applyAlignment="1">
      <alignment horizontal="center" vertical="center"/>
    </xf>
    <xf numFmtId="1" fontId="12" fillId="42" borderId="44" xfId="372" applyNumberFormat="1" applyFont="1" applyFill="1" applyBorder="1" applyAlignment="1">
      <alignment horizontal="center"/>
    </xf>
    <xf numFmtId="1" fontId="8" fillId="0" borderId="44" xfId="372" applyNumberFormat="1" applyFont="1" applyFill="1" applyBorder="1" applyAlignment="1">
      <alignment vertical="center"/>
    </xf>
    <xf numFmtId="1" fontId="8" fillId="0" borderId="44" xfId="394" applyNumberFormat="1" applyFont="1" applyFill="1" applyBorder="1" applyAlignment="1">
      <alignment horizontal="left"/>
    </xf>
    <xf numFmtId="1" fontId="8" fillId="0" borderId="44" xfId="394" applyNumberFormat="1" applyFont="1" applyFill="1" applyBorder="1" applyAlignment="1">
      <alignment horizontal="center" vertical="center"/>
    </xf>
    <xf numFmtId="3" fontId="8" fillId="0" borderId="44" xfId="372" applyNumberFormat="1" applyFont="1" applyFill="1" applyBorder="1" applyAlignment="1">
      <alignment horizontal="center"/>
    </xf>
    <xf numFmtId="3" fontId="8" fillId="0" borderId="72" xfId="394" applyNumberFormat="1" applyFont="1" applyFill="1" applyBorder="1" applyAlignment="1">
      <alignment horizontal="center" vertical="center"/>
    </xf>
    <xf numFmtId="3" fontId="8" fillId="0" borderId="44" xfId="394" applyNumberFormat="1" applyFont="1" applyFill="1" applyBorder="1" applyAlignment="1">
      <alignment horizontal="center" vertical="center"/>
    </xf>
    <xf numFmtId="1" fontId="8" fillId="0" borderId="44" xfId="372" applyNumberFormat="1" applyFont="1" applyFill="1" applyBorder="1" applyAlignment="1">
      <alignment horizontal="left" vertical="center"/>
    </xf>
    <xf numFmtId="1" fontId="8" fillId="0" borderId="72" xfId="372" applyNumberFormat="1" applyFont="1" applyFill="1" applyBorder="1" applyAlignment="1">
      <alignment horizontal="left" vertical="center"/>
    </xf>
    <xf numFmtId="1" fontId="8" fillId="42" borderId="44" xfId="372" applyNumberFormat="1" applyFont="1" applyFill="1" applyBorder="1" applyAlignment="1">
      <alignment horizontal="center"/>
    </xf>
    <xf numFmtId="1" fontId="144" fillId="0" borderId="44" xfId="372" applyNumberFormat="1" applyFont="1" applyFill="1" applyBorder="1" applyAlignment="1">
      <alignment horizontal="center" vertical="center"/>
    </xf>
    <xf numFmtId="3" fontId="144" fillId="0" borderId="44" xfId="281" applyNumberFormat="1" applyFont="1" applyFill="1" applyBorder="1" applyAlignment="1">
      <alignment horizontal="center" vertical="center"/>
    </xf>
    <xf numFmtId="1" fontId="144" fillId="0" borderId="72" xfId="372" applyNumberFormat="1" applyFont="1" applyFill="1" applyBorder="1" applyAlignment="1">
      <alignment horizontal="center" vertical="center"/>
    </xf>
    <xf numFmtId="1" fontId="144" fillId="0" borderId="73" xfId="372" applyNumberFormat="1" applyFont="1" applyFill="1" applyBorder="1" applyAlignment="1">
      <alignment horizontal="center" vertical="center"/>
    </xf>
    <xf numFmtId="3" fontId="144" fillId="0" borderId="72" xfId="281" applyNumberFormat="1" applyFont="1" applyFill="1" applyBorder="1" applyAlignment="1">
      <alignment horizontal="center" vertical="center"/>
    </xf>
    <xf numFmtId="3" fontId="144" fillId="0" borderId="73" xfId="281" applyNumberFormat="1" applyFont="1" applyFill="1" applyBorder="1" applyAlignment="1">
      <alignment horizontal="center" vertical="center"/>
    </xf>
    <xf numFmtId="1" fontId="8" fillId="42" borderId="44" xfId="372" applyNumberFormat="1" applyFont="1" applyFill="1" applyBorder="1" applyAlignment="1">
      <alignment horizontal="center" vertical="center" wrapText="1"/>
    </xf>
    <xf numFmtId="1" fontId="8" fillId="42" borderId="72" xfId="372" applyNumberFormat="1" applyFont="1" applyFill="1" applyBorder="1" applyAlignment="1">
      <alignment horizontal="center" vertical="center" wrapText="1"/>
    </xf>
    <xf numFmtId="1" fontId="8" fillId="42" borderId="74" xfId="372" applyNumberFormat="1" applyFont="1" applyFill="1" applyBorder="1" applyAlignment="1">
      <alignment horizontal="center" vertical="center" wrapText="1"/>
    </xf>
    <xf numFmtId="1" fontId="8" fillId="42" borderId="73" xfId="372" applyNumberFormat="1" applyFont="1" applyFill="1" applyBorder="1" applyAlignment="1">
      <alignment horizontal="center" vertical="center" wrapText="1"/>
    </xf>
    <xf numFmtId="3" fontId="8" fillId="0" borderId="74" xfId="394" applyNumberFormat="1" applyFont="1" applyFill="1" applyBorder="1" applyAlignment="1">
      <alignment horizontal="center"/>
    </xf>
    <xf numFmtId="3" fontId="8" fillId="0" borderId="73" xfId="394" applyNumberFormat="1" applyFont="1" applyFill="1" applyBorder="1" applyAlignment="1">
      <alignment horizontal="center"/>
    </xf>
    <xf numFmtId="3" fontId="8" fillId="0" borderId="74" xfId="281" applyNumberFormat="1" applyFont="1" applyFill="1" applyBorder="1" applyAlignment="1">
      <alignment horizontal="center"/>
    </xf>
    <xf numFmtId="3" fontId="8" fillId="0" borderId="73" xfId="281" applyNumberFormat="1" applyFont="1" applyFill="1" applyBorder="1" applyAlignment="1">
      <alignment horizontal="center"/>
    </xf>
    <xf numFmtId="1" fontId="262" fillId="36" borderId="44" xfId="371" applyNumberFormat="1" applyFont="1" applyFill="1" applyBorder="1" applyAlignment="1">
      <alignment horizontal="center" vertical="center" wrapText="1"/>
    </xf>
    <xf numFmtId="14" fontId="12" fillId="36" borderId="44" xfId="394" applyNumberFormat="1" applyFont="1" applyFill="1" applyBorder="1" applyAlignment="1">
      <alignment horizontal="center" vertical="center" wrapText="1"/>
    </xf>
    <xf numFmtId="1" fontId="257" fillId="36" borderId="44" xfId="371" applyNumberFormat="1" applyFont="1" applyFill="1" applyBorder="1" applyAlignment="1">
      <alignment horizontal="center" vertical="center"/>
    </xf>
    <xf numFmtId="9" fontId="10" fillId="0" borderId="44" xfId="394" applyNumberFormat="1" applyFont="1" applyFill="1" applyBorder="1" applyAlignment="1">
      <alignment horizontal="center" vertical="center"/>
    </xf>
    <xf numFmtId="9" fontId="10" fillId="0" borderId="44" xfId="394" applyNumberFormat="1" applyFont="1" applyBorder="1" applyAlignment="1">
      <alignment horizontal="center" vertical="center"/>
    </xf>
    <xf numFmtId="1" fontId="261" fillId="0" borderId="72" xfId="0" applyNumberFormat="1" applyFont="1" applyFill="1" applyBorder="1" applyAlignment="1">
      <alignment horizontal="center" vertical="center"/>
    </xf>
    <xf numFmtId="1" fontId="261" fillId="0" borderId="74" xfId="0" applyNumberFormat="1" applyFont="1" applyFill="1" applyBorder="1" applyAlignment="1">
      <alignment horizontal="center" vertical="center"/>
    </xf>
    <xf numFmtId="1" fontId="261" fillId="0" borderId="73" xfId="0" applyNumberFormat="1" applyFont="1" applyFill="1" applyBorder="1" applyAlignment="1">
      <alignment horizontal="center" vertical="center"/>
    </xf>
    <xf numFmtId="3" fontId="261" fillId="0" borderId="72" xfId="0" applyNumberFormat="1" applyFont="1" applyFill="1" applyBorder="1" applyAlignment="1">
      <alignment horizontal="center" vertical="center"/>
    </xf>
    <xf numFmtId="3" fontId="261" fillId="0" borderId="73" xfId="0" applyNumberFormat="1" applyFont="1" applyFill="1" applyBorder="1" applyAlignment="1">
      <alignment horizontal="center" vertical="center"/>
    </xf>
    <xf numFmtId="3" fontId="261" fillId="0" borderId="74" xfId="0" applyNumberFormat="1" applyFont="1" applyFill="1" applyBorder="1" applyAlignment="1">
      <alignment horizontal="center" vertical="center"/>
    </xf>
    <xf numFmtId="0" fontId="3" fillId="0" borderId="0" xfId="380" applyFont="1" applyBorder="1" applyAlignment="1">
      <alignment horizontal="center" vertical="center"/>
    </xf>
    <xf numFmtId="0" fontId="3" fillId="0" borderId="90" xfId="380" applyFont="1" applyBorder="1" applyAlignment="1">
      <alignment horizontal="center" vertical="center"/>
    </xf>
    <xf numFmtId="0" fontId="75" fillId="0" borderId="89" xfId="374" applyFont="1" applyBorder="1" applyAlignment="1" applyProtection="1">
      <alignment horizontal="center"/>
      <protection hidden="1"/>
    </xf>
    <xf numFmtId="14" fontId="3" fillId="0" borderId="0" xfId="381" applyNumberFormat="1" applyFont="1" applyFill="1" applyBorder="1" applyAlignment="1">
      <alignment horizontal="center" vertical="center"/>
    </xf>
    <xf numFmtId="1" fontId="12" fillId="2" borderId="10" xfId="372" applyNumberFormat="1" applyFont="1" applyFill="1" applyBorder="1" applyAlignment="1">
      <alignment horizontal="center" vertical="center"/>
    </xf>
    <xf numFmtId="0" fontId="7" fillId="2" borderId="2" xfId="372" applyNumberFormat="1" applyFont="1" applyFill="1" applyBorder="1" applyAlignment="1">
      <alignment horizontal="center" vertical="center"/>
    </xf>
    <xf numFmtId="0" fontId="7" fillId="2" borderId="5" xfId="372" applyNumberFormat="1" applyFont="1" applyFill="1" applyBorder="1" applyAlignment="1">
      <alignment horizontal="center" vertical="center"/>
    </xf>
    <xf numFmtId="1" fontId="3" fillId="0" borderId="10" xfId="380" applyNumberFormat="1" applyFont="1" applyFill="1" applyBorder="1" applyAlignment="1">
      <alignment horizontal="center" vertical="center"/>
    </xf>
    <xf numFmtId="0" fontId="3" fillId="0" borderId="10" xfId="380" applyFont="1" applyFill="1" applyBorder="1" applyAlignment="1">
      <alignment horizontal="center" vertical="center"/>
    </xf>
    <xf numFmtId="0" fontId="7" fillId="2" borderId="10" xfId="372" applyFont="1" applyFill="1" applyBorder="1" applyAlignment="1">
      <alignment horizontal="center" vertical="center"/>
    </xf>
    <xf numFmtId="1" fontId="3" fillId="0" borderId="10" xfId="370" applyNumberFormat="1" applyFont="1" applyFill="1" applyBorder="1" applyAlignment="1">
      <alignment horizontal="center" vertical="center"/>
    </xf>
    <xf numFmtId="0" fontId="7" fillId="2" borderId="10" xfId="372" applyNumberFormat="1" applyFont="1" applyFill="1" applyBorder="1" applyAlignment="1">
      <alignment horizontal="center" vertical="center"/>
    </xf>
    <xf numFmtId="0" fontId="7" fillId="2" borderId="2" xfId="372" applyFont="1" applyFill="1" applyBorder="1" applyAlignment="1">
      <alignment horizontal="center" vertical="center"/>
    </xf>
    <xf numFmtId="0" fontId="7" fillId="2" borderId="5" xfId="372" applyFont="1" applyFill="1" applyBorder="1" applyAlignment="1">
      <alignment horizontal="center" vertical="center"/>
    </xf>
    <xf numFmtId="1" fontId="3" fillId="0" borderId="2" xfId="372" applyNumberFormat="1" applyFont="1" applyFill="1" applyBorder="1" applyAlignment="1">
      <alignment horizontal="center" vertical="center"/>
    </xf>
    <xf numFmtId="1" fontId="3" fillId="0" borderId="5" xfId="372" applyNumberFormat="1" applyFont="1" applyFill="1" applyBorder="1" applyAlignment="1">
      <alignment horizontal="center" vertical="center"/>
    </xf>
    <xf numFmtId="1" fontId="3" fillId="0" borderId="2" xfId="380" applyNumberFormat="1" applyFont="1" applyFill="1" applyBorder="1" applyAlignment="1">
      <alignment horizontal="center" vertical="center"/>
    </xf>
    <xf numFmtId="1" fontId="3" fillId="0" borderId="5" xfId="380" applyNumberFormat="1" applyFont="1" applyFill="1" applyBorder="1" applyAlignment="1">
      <alignment horizontal="center" vertical="center"/>
    </xf>
    <xf numFmtId="1" fontId="3" fillId="0" borderId="2" xfId="370" applyNumberFormat="1" applyFont="1" applyFill="1" applyBorder="1" applyAlignment="1">
      <alignment horizontal="center" vertical="center"/>
    </xf>
    <xf numFmtId="1" fontId="3" fillId="0" borderId="5" xfId="370" applyNumberFormat="1" applyFont="1" applyFill="1" applyBorder="1" applyAlignment="1">
      <alignment horizontal="center" vertical="center"/>
    </xf>
    <xf numFmtId="1" fontId="7" fillId="2" borderId="4" xfId="372" applyNumberFormat="1" applyFont="1" applyFill="1" applyBorder="1" applyAlignment="1">
      <alignment horizontal="center" vertical="center"/>
    </xf>
    <xf numFmtId="1" fontId="7" fillId="2" borderId="5" xfId="372" applyNumberFormat="1" applyFont="1" applyFill="1" applyBorder="1" applyAlignment="1">
      <alignment horizontal="center" vertical="center"/>
    </xf>
    <xf numFmtId="0" fontId="3" fillId="0" borderId="2" xfId="380" applyFont="1" applyFill="1" applyBorder="1" applyAlignment="1">
      <alignment horizontal="center" vertical="center"/>
    </xf>
    <xf numFmtId="0" fontId="3" fillId="0" borderId="5" xfId="380" applyFont="1" applyFill="1" applyBorder="1" applyAlignment="1">
      <alignment horizontal="center" vertical="center"/>
    </xf>
    <xf numFmtId="1" fontId="3" fillId="0" borderId="10" xfId="372" applyNumberFormat="1" applyFont="1" applyFill="1" applyBorder="1" applyAlignment="1">
      <alignment vertical="center"/>
    </xf>
    <xf numFmtId="1" fontId="3" fillId="0" borderId="4" xfId="370" applyNumberFormat="1" applyFont="1" applyFill="1" applyBorder="1" applyAlignment="1">
      <alignment horizontal="center" vertical="center"/>
    </xf>
    <xf numFmtId="1" fontId="12" fillId="2" borderId="2" xfId="372" applyNumberFormat="1" applyFont="1" applyFill="1" applyBorder="1" applyAlignment="1">
      <alignment horizontal="center" vertical="center"/>
    </xf>
    <xf numFmtId="1" fontId="12" fillId="2" borderId="4" xfId="372" applyNumberFormat="1" applyFont="1" applyFill="1" applyBorder="1" applyAlignment="1">
      <alignment horizontal="center" vertical="center"/>
    </xf>
    <xf numFmtId="1" fontId="12" fillId="2" borderId="5" xfId="372" applyNumberFormat="1" applyFont="1" applyFill="1" applyBorder="1" applyAlignment="1">
      <alignment horizontal="center" vertical="center"/>
    </xf>
    <xf numFmtId="1" fontId="3" fillId="0" borderId="4" xfId="372" applyNumberFormat="1" applyFont="1" applyFill="1" applyBorder="1" applyAlignment="1">
      <alignment horizontal="center" vertical="center"/>
    </xf>
    <xf numFmtId="0" fontId="3" fillId="0" borderId="2" xfId="380" applyFont="1" applyBorder="1" applyAlignment="1">
      <alignment horizontal="center" vertical="center"/>
    </xf>
    <xf numFmtId="0" fontId="3" fillId="0" borderId="5" xfId="380" applyFont="1" applyBorder="1" applyAlignment="1">
      <alignment horizontal="center" vertical="center"/>
    </xf>
    <xf numFmtId="0" fontId="3" fillId="0" borderId="4" xfId="380" applyFont="1" applyBorder="1" applyAlignment="1">
      <alignment horizontal="center" vertical="center"/>
    </xf>
    <xf numFmtId="1" fontId="3" fillId="0" borderId="10" xfId="372" applyNumberFormat="1" applyFont="1" applyFill="1" applyBorder="1" applyAlignment="1">
      <alignment horizontal="center" vertical="center"/>
    </xf>
    <xf numFmtId="0" fontId="7" fillId="4" borderId="3" xfId="380" applyFont="1" applyFill="1" applyBorder="1" applyAlignment="1">
      <alignment horizontal="center" vertical="center"/>
    </xf>
    <xf numFmtId="0" fontId="7" fillId="4" borderId="7" xfId="380" applyFont="1" applyFill="1" applyBorder="1" applyAlignment="1">
      <alignment horizontal="center" vertical="center"/>
    </xf>
    <xf numFmtId="0" fontId="7" fillId="4" borderId="9" xfId="380" applyFont="1" applyFill="1" applyBorder="1" applyAlignment="1">
      <alignment horizontal="center" vertical="center"/>
    </xf>
    <xf numFmtId="0" fontId="7" fillId="4" borderId="2" xfId="380" applyFont="1" applyFill="1" applyBorder="1" applyAlignment="1">
      <alignment horizontal="center" vertical="center" wrapText="1"/>
    </xf>
    <xf numFmtId="0" fontId="7" fillId="4" borderId="4" xfId="380" applyFont="1" applyFill="1" applyBorder="1" applyAlignment="1">
      <alignment horizontal="center" vertical="center" wrapText="1"/>
    </xf>
    <xf numFmtId="0" fontId="7" fillId="4" borderId="5" xfId="380" applyFont="1" applyFill="1" applyBorder="1" applyAlignment="1">
      <alignment horizontal="center" vertical="center" wrapText="1"/>
    </xf>
    <xf numFmtId="0" fontId="7" fillId="4" borderId="2" xfId="380" applyFont="1" applyFill="1" applyBorder="1" applyAlignment="1">
      <alignment horizontal="center" vertical="center"/>
    </xf>
    <xf numFmtId="0" fontId="7" fillId="4" borderId="4" xfId="380" applyFont="1" applyFill="1" applyBorder="1" applyAlignment="1">
      <alignment horizontal="center" vertical="center"/>
    </xf>
    <xf numFmtId="0" fontId="7" fillId="4" borderId="5" xfId="380" applyFont="1" applyFill="1" applyBorder="1" applyAlignment="1">
      <alignment horizontal="center" vertical="center"/>
    </xf>
    <xf numFmtId="0" fontId="7" fillId="4" borderId="10" xfId="380" applyFont="1" applyFill="1" applyBorder="1" applyAlignment="1">
      <alignment horizontal="center" vertical="center" wrapText="1"/>
    </xf>
    <xf numFmtId="9" fontId="3" fillId="0" borderId="8" xfId="380" applyNumberFormat="1" applyFont="1" applyBorder="1" applyAlignment="1">
      <alignment horizontal="center" vertical="center"/>
    </xf>
    <xf numFmtId="9" fontId="3" fillId="0" borderId="12" xfId="380" applyNumberFormat="1" applyFont="1" applyBorder="1" applyAlignment="1">
      <alignment horizontal="center" vertical="center"/>
    </xf>
    <xf numFmtId="9" fontId="3" fillId="0" borderId="11" xfId="380" applyNumberFormat="1" applyFont="1" applyBorder="1" applyAlignment="1">
      <alignment horizontal="center" vertical="center"/>
    </xf>
    <xf numFmtId="9" fontId="3" fillId="0" borderId="15" xfId="380" applyNumberFormat="1" applyFont="1" applyBorder="1" applyAlignment="1">
      <alignment horizontal="center" vertical="center"/>
    </xf>
    <xf numFmtId="9" fontId="3" fillId="0" borderId="1" xfId="380" applyNumberFormat="1" applyFont="1" applyBorder="1" applyAlignment="1">
      <alignment horizontal="center" vertical="center"/>
    </xf>
    <xf numFmtId="9" fontId="3" fillId="0" borderId="16" xfId="380" applyNumberFormat="1" applyFont="1" applyBorder="1" applyAlignment="1">
      <alignment horizontal="center" vertical="center"/>
    </xf>
    <xf numFmtId="9" fontId="3" fillId="0" borderId="10" xfId="380" applyNumberFormat="1" applyFont="1" applyBorder="1" applyAlignment="1">
      <alignment horizontal="center" vertical="center"/>
    </xf>
    <xf numFmtId="3" fontId="3" fillId="0" borderId="10" xfId="2" applyNumberFormat="1" applyFont="1" applyFill="1" applyBorder="1" applyAlignment="1">
      <alignment horizontal="center" vertical="center"/>
    </xf>
    <xf numFmtId="3" fontId="3" fillId="0" borderId="2" xfId="2" applyNumberFormat="1" applyFont="1" applyFill="1" applyBorder="1" applyAlignment="1">
      <alignment horizontal="center" vertical="center"/>
    </xf>
    <xf numFmtId="3" fontId="3" fillId="0" borderId="5" xfId="2" applyNumberFormat="1" applyFont="1" applyFill="1" applyBorder="1" applyAlignment="1">
      <alignment horizontal="center" vertical="center"/>
    </xf>
    <xf numFmtId="1" fontId="3" fillId="2" borderId="15" xfId="372" applyNumberFormat="1" applyFont="1" applyFill="1" applyBorder="1" applyAlignment="1">
      <alignment horizontal="center" vertical="center" wrapText="1"/>
    </xf>
    <xf numFmtId="1" fontId="3" fillId="2" borderId="16" xfId="372" applyNumberFormat="1" applyFont="1" applyFill="1" applyBorder="1" applyAlignment="1">
      <alignment horizontal="center" vertical="center" wrapText="1"/>
    </xf>
    <xf numFmtId="1" fontId="3" fillId="2" borderId="10" xfId="372" applyNumberFormat="1" applyFont="1" applyFill="1" applyBorder="1" applyAlignment="1">
      <alignment horizontal="center" vertical="center" wrapText="1"/>
    </xf>
    <xf numFmtId="1" fontId="3" fillId="2" borderId="9" xfId="372" applyNumberFormat="1" applyFont="1" applyFill="1" applyBorder="1" applyAlignment="1">
      <alignment horizontal="center" vertical="center"/>
    </xf>
    <xf numFmtId="0" fontId="84" fillId="0" borderId="0" xfId="380" applyFont="1" applyAlignment="1">
      <alignment horizontal="center" vertical="center"/>
    </xf>
    <xf numFmtId="0" fontId="7" fillId="2" borderId="4" xfId="372" applyFont="1" applyFill="1" applyBorder="1" applyAlignment="1">
      <alignment horizontal="center" vertical="center"/>
    </xf>
    <xf numFmtId="1" fontId="7" fillId="2" borderId="2" xfId="372" applyNumberFormat="1" applyFont="1" applyFill="1" applyBorder="1" applyAlignment="1">
      <alignment horizontal="center" vertical="center"/>
    </xf>
    <xf numFmtId="1" fontId="7" fillId="2" borderId="10" xfId="372" applyNumberFormat="1" applyFont="1" applyFill="1" applyBorder="1" applyAlignment="1">
      <alignment horizontal="center" vertical="center"/>
    </xf>
    <xf numFmtId="1" fontId="7" fillId="2" borderId="10" xfId="372" applyNumberFormat="1" applyFont="1" applyFill="1" applyBorder="1" applyAlignment="1">
      <alignment horizontal="left" vertical="center"/>
    </xf>
    <xf numFmtId="14" fontId="3" fillId="0" borderId="1" xfId="381" applyNumberFormat="1" applyFont="1" applyFill="1" applyBorder="1" applyAlignment="1">
      <alignment horizontal="center" vertical="center"/>
    </xf>
    <xf numFmtId="1" fontId="3" fillId="0" borderId="4" xfId="380" applyNumberFormat="1" applyFont="1" applyFill="1" applyBorder="1" applyAlignment="1">
      <alignment horizontal="center" vertical="center"/>
    </xf>
    <xf numFmtId="1" fontId="12" fillId="2" borderId="3" xfId="372" applyNumberFormat="1" applyFont="1" applyFill="1" applyBorder="1" applyAlignment="1">
      <alignment horizontal="center" vertical="center"/>
    </xf>
    <xf numFmtId="1" fontId="12" fillId="2" borderId="9" xfId="372" applyNumberFormat="1" applyFont="1" applyFill="1" applyBorder="1" applyAlignment="1">
      <alignment horizontal="center" vertical="center"/>
    </xf>
    <xf numFmtId="0" fontId="3" fillId="0" borderId="0" xfId="2" applyFont="1" applyBorder="1" applyAlignment="1">
      <alignment horizontal="center" vertical="center"/>
    </xf>
    <xf numFmtId="0" fontId="3" fillId="0" borderId="90" xfId="2" applyFont="1" applyBorder="1" applyAlignment="1">
      <alignment horizontal="center" vertical="center"/>
    </xf>
    <xf numFmtId="0" fontId="4" fillId="0" borderId="0" xfId="374" applyFont="1" applyBorder="1" applyAlignment="1" applyProtection="1">
      <alignment horizontal="center"/>
      <protection hidden="1"/>
    </xf>
    <xf numFmtId="0" fontId="12" fillId="3" borderId="11" xfId="2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/>
    </xf>
    <xf numFmtId="0" fontId="12" fillId="3" borderId="16" xfId="2" applyFont="1" applyFill="1" applyBorder="1" applyAlignment="1">
      <alignment horizontal="center" vertical="center"/>
    </xf>
    <xf numFmtId="0" fontId="146" fillId="2" borderId="3" xfId="2" applyFont="1" applyFill="1" applyBorder="1" applyAlignment="1">
      <alignment horizontal="center" vertical="center" wrapText="1"/>
    </xf>
    <xf numFmtId="0" fontId="146" fillId="2" borderId="7" xfId="2" applyFont="1" applyFill="1" applyBorder="1" applyAlignment="1">
      <alignment horizontal="center" vertical="center" wrapText="1"/>
    </xf>
    <xf numFmtId="0" fontId="146" fillId="2" borderId="9" xfId="2" applyFont="1" applyFill="1" applyBorder="1" applyAlignment="1">
      <alignment horizontal="center" vertical="center" wrapText="1"/>
    </xf>
    <xf numFmtId="4" fontId="146" fillId="2" borderId="10" xfId="2" applyNumberFormat="1" applyFont="1" applyFill="1" applyBorder="1" applyAlignment="1">
      <alignment horizontal="center" vertical="center"/>
    </xf>
    <xf numFmtId="0" fontId="146" fillId="3" borderId="2" xfId="2" applyFont="1" applyFill="1" applyBorder="1" applyAlignment="1">
      <alignment horizontal="center" vertical="center"/>
    </xf>
    <xf numFmtId="0" fontId="146" fillId="3" borderId="4" xfId="2" applyFont="1" applyFill="1" applyBorder="1" applyAlignment="1">
      <alignment horizontal="center" vertical="center"/>
    </xf>
    <xf numFmtId="0" fontId="146" fillId="3" borderId="5" xfId="2" applyFont="1" applyFill="1" applyBorder="1" applyAlignment="1">
      <alignment horizontal="center" vertical="center"/>
    </xf>
    <xf numFmtId="0" fontId="10" fillId="0" borderId="3" xfId="2" applyFont="1" applyBorder="1" applyAlignment="1">
      <alignment horizontal="center" vertical="center"/>
    </xf>
    <xf numFmtId="0" fontId="10" fillId="0" borderId="7" xfId="2" applyFont="1" applyBorder="1" applyAlignment="1">
      <alignment horizontal="center" vertical="center"/>
    </xf>
    <xf numFmtId="0" fontId="10" fillId="0" borderId="9" xfId="2" applyFont="1" applyBorder="1" applyAlignment="1">
      <alignment horizontal="center" vertical="center"/>
    </xf>
    <xf numFmtId="0" fontId="146" fillId="0" borderId="3" xfId="2" applyFont="1" applyBorder="1" applyAlignment="1">
      <alignment horizontal="left" vertical="center" wrapText="1"/>
    </xf>
    <xf numFmtId="0" fontId="146" fillId="0" borderId="7" xfId="2" applyFont="1" applyBorder="1" applyAlignment="1">
      <alignment horizontal="left" vertical="center"/>
    </xf>
    <xf numFmtId="0" fontId="146" fillId="0" borderId="9" xfId="2" applyFont="1" applyBorder="1" applyAlignment="1">
      <alignment horizontal="left" vertical="center"/>
    </xf>
    <xf numFmtId="0" fontId="90" fillId="0" borderId="3" xfId="2" applyFont="1" applyBorder="1" applyAlignment="1">
      <alignment horizontal="center" vertical="center" wrapText="1"/>
    </xf>
    <xf numFmtId="0" fontId="90" fillId="0" borderId="7" xfId="2" applyFont="1" applyBorder="1" applyAlignment="1">
      <alignment horizontal="center" vertical="center" wrapText="1"/>
    </xf>
    <xf numFmtId="0" fontId="90" fillId="0" borderId="9" xfId="2" applyFont="1" applyBorder="1" applyAlignment="1">
      <alignment horizontal="center" vertical="center" wrapText="1"/>
    </xf>
    <xf numFmtId="0" fontId="10" fillId="0" borderId="3" xfId="2" applyNumberFormat="1" applyFont="1" applyFill="1" applyBorder="1" applyAlignment="1">
      <alignment horizontal="center" vertical="center"/>
    </xf>
    <xf numFmtId="0" fontId="10" fillId="0" borderId="7" xfId="2" applyNumberFormat="1" applyFont="1" applyFill="1" applyBorder="1" applyAlignment="1">
      <alignment horizontal="center" vertical="center"/>
    </xf>
    <xf numFmtId="0" fontId="10" fillId="0" borderId="9" xfId="2" applyNumberFormat="1" applyFont="1" applyFill="1" applyBorder="1" applyAlignment="1">
      <alignment horizontal="center" vertical="center"/>
    </xf>
    <xf numFmtId="0" fontId="146" fillId="0" borderId="7" xfId="2" applyFont="1" applyBorder="1" applyAlignment="1">
      <alignment horizontal="left" vertical="center" wrapText="1"/>
    </xf>
    <xf numFmtId="0" fontId="146" fillId="0" borderId="9" xfId="2" applyFont="1" applyBorder="1" applyAlignment="1">
      <alignment horizontal="left" vertical="center" wrapText="1"/>
    </xf>
    <xf numFmtId="0" fontId="10" fillId="0" borderId="3" xfId="2" applyFont="1" applyFill="1" applyBorder="1" applyAlignment="1">
      <alignment horizontal="center" vertical="center"/>
    </xf>
    <xf numFmtId="0" fontId="10" fillId="0" borderId="7" xfId="2" applyFont="1" applyFill="1" applyBorder="1" applyAlignment="1">
      <alignment horizontal="center" vertical="center"/>
    </xf>
    <xf numFmtId="0" fontId="10" fillId="0" borderId="9" xfId="2" applyFont="1" applyFill="1" applyBorder="1" applyAlignment="1">
      <alignment horizontal="center" vertical="center"/>
    </xf>
    <xf numFmtId="0" fontId="146" fillId="2" borderId="2" xfId="2" applyFont="1" applyFill="1" applyBorder="1" applyAlignment="1">
      <alignment horizontal="center" vertical="center"/>
    </xf>
    <xf numFmtId="0" fontId="155" fillId="0" borderId="4" xfId="276" applyFont="1" applyBorder="1"/>
    <xf numFmtId="0" fontId="155" fillId="0" borderId="5" xfId="276" applyFont="1" applyBorder="1"/>
    <xf numFmtId="0" fontId="146" fillId="0" borderId="3" xfId="2" applyFont="1" applyBorder="1" applyAlignment="1">
      <alignment vertical="center" wrapText="1"/>
    </xf>
    <xf numFmtId="0" fontId="146" fillId="0" borderId="7" xfId="2" applyFont="1" applyBorder="1" applyAlignment="1">
      <alignment vertical="center"/>
    </xf>
    <xf numFmtId="0" fontId="146" fillId="0" borderId="9" xfId="2" applyFont="1" applyBorder="1" applyAlignment="1">
      <alignment vertical="center"/>
    </xf>
    <xf numFmtId="0" fontId="146" fillId="2" borderId="2" xfId="2" applyFont="1" applyFill="1" applyBorder="1" applyAlignment="1">
      <alignment horizontal="left" vertical="center"/>
    </xf>
    <xf numFmtId="0" fontId="146" fillId="2" borderId="4" xfId="2" applyFont="1" applyFill="1" applyBorder="1" applyAlignment="1">
      <alignment horizontal="left" vertical="center"/>
    </xf>
    <xf numFmtId="0" fontId="146" fillId="2" borderId="5" xfId="2" applyFont="1" applyFill="1" applyBorder="1" applyAlignment="1">
      <alignment horizontal="left" vertical="center"/>
    </xf>
    <xf numFmtId="3" fontId="146" fillId="0" borderId="3" xfId="2" applyNumberFormat="1" applyFont="1" applyFill="1" applyBorder="1" applyAlignment="1">
      <alignment horizontal="left" vertical="center" wrapText="1"/>
    </xf>
    <xf numFmtId="3" fontId="146" fillId="0" borderId="7" xfId="2" applyNumberFormat="1" applyFont="1" applyFill="1" applyBorder="1" applyAlignment="1">
      <alignment horizontal="left" vertical="center"/>
    </xf>
    <xf numFmtId="3" fontId="146" fillId="0" borderId="9" xfId="2" applyNumberFormat="1" applyFont="1" applyFill="1" applyBorder="1" applyAlignment="1">
      <alignment horizontal="left" vertical="center"/>
    </xf>
    <xf numFmtId="0" fontId="10" fillId="0" borderId="10" xfId="2" applyFont="1" applyBorder="1" applyAlignment="1">
      <alignment horizontal="center" vertical="center"/>
    </xf>
    <xf numFmtId="3" fontId="146" fillId="0" borderId="7" xfId="2" applyNumberFormat="1" applyFont="1" applyFill="1" applyBorder="1" applyAlignment="1">
      <alignment horizontal="left" vertical="center" wrapText="1"/>
    </xf>
    <xf numFmtId="3" fontId="146" fillId="0" borderId="9" xfId="2" applyNumberFormat="1" applyFont="1" applyFill="1" applyBorder="1" applyAlignment="1">
      <alignment horizontal="left" vertical="center" wrapText="1"/>
    </xf>
    <xf numFmtId="0" fontId="90" fillId="0" borderId="10" xfId="2" applyFont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/>
    </xf>
    <xf numFmtId="0" fontId="146" fillId="2" borderId="4" xfId="2" applyFont="1" applyFill="1" applyBorder="1" applyAlignment="1">
      <alignment horizontal="center" vertical="center"/>
    </xf>
    <xf numFmtId="0" fontId="146" fillId="2" borderId="5" xfId="2" applyFont="1" applyFill="1" applyBorder="1" applyAlignment="1">
      <alignment horizontal="center" vertical="center"/>
    </xf>
    <xf numFmtId="0" fontId="146" fillId="3" borderId="2" xfId="276" applyFont="1" applyFill="1" applyBorder="1" applyAlignment="1">
      <alignment horizontal="left"/>
    </xf>
    <xf numFmtId="0" fontId="146" fillId="3" borderId="4" xfId="276" applyFont="1" applyFill="1" applyBorder="1" applyAlignment="1">
      <alignment horizontal="left"/>
    </xf>
    <xf numFmtId="0" fontId="146" fillId="3" borderId="5" xfId="276" applyFont="1" applyFill="1" applyBorder="1" applyAlignment="1">
      <alignment horizontal="left"/>
    </xf>
    <xf numFmtId="0" fontId="12" fillId="0" borderId="3" xfId="2" applyFont="1" applyBorder="1" applyAlignment="1">
      <alignment horizontal="left" vertical="center" wrapText="1"/>
    </xf>
    <xf numFmtId="0" fontId="12" fillId="0" borderId="7" xfId="2" applyFont="1" applyBorder="1" applyAlignment="1">
      <alignment horizontal="left" vertical="center"/>
    </xf>
    <xf numFmtId="0" fontId="12" fillId="0" borderId="9" xfId="2" applyFont="1" applyBorder="1" applyAlignment="1">
      <alignment horizontal="left" vertical="center"/>
    </xf>
    <xf numFmtId="0" fontId="146" fillId="3" borderId="10" xfId="271" applyFont="1" applyFill="1" applyBorder="1" applyAlignment="1">
      <alignment horizontal="center" vertical="center"/>
    </xf>
    <xf numFmtId="0" fontId="146" fillId="49" borderId="3" xfId="271" applyFont="1" applyFill="1" applyBorder="1" applyAlignment="1">
      <alignment horizontal="left" vertical="center" wrapText="1"/>
    </xf>
    <xf numFmtId="0" fontId="146" fillId="49" borderId="9" xfId="271" applyFont="1" applyFill="1" applyBorder="1" applyAlignment="1">
      <alignment horizontal="left" vertical="center" wrapText="1"/>
    </xf>
    <xf numFmtId="0" fontId="38" fillId="0" borderId="0" xfId="374" applyFont="1" applyBorder="1" applyAlignment="1" applyProtection="1">
      <alignment horizontal="center" vertical="center"/>
      <protection hidden="1"/>
    </xf>
    <xf numFmtId="0" fontId="146" fillId="2" borderId="3" xfId="271" applyFont="1" applyFill="1" applyBorder="1" applyAlignment="1">
      <alignment horizontal="center" vertical="center"/>
    </xf>
    <xf numFmtId="0" fontId="146" fillId="2" borderId="9" xfId="271" applyFont="1" applyFill="1" applyBorder="1" applyAlignment="1">
      <alignment horizontal="center" vertical="center"/>
    </xf>
    <xf numFmtId="0" fontId="146" fillId="49" borderId="3" xfId="271" applyFont="1" applyFill="1" applyBorder="1" applyAlignment="1">
      <alignment horizontal="left" vertical="center"/>
    </xf>
    <xf numFmtId="0" fontId="146" fillId="49" borderId="7" xfId="271" applyFont="1" applyFill="1" applyBorder="1" applyAlignment="1">
      <alignment horizontal="left" vertical="center"/>
    </xf>
    <xf numFmtId="4" fontId="146" fillId="2" borderId="3" xfId="271" applyNumberFormat="1" applyFont="1" applyFill="1" applyBorder="1" applyAlignment="1">
      <alignment horizontal="center" vertical="center"/>
    </xf>
    <xf numFmtId="4" fontId="146" fillId="2" borderId="9" xfId="271" applyNumberFormat="1" applyFont="1" applyFill="1" applyBorder="1" applyAlignment="1">
      <alignment horizontal="center" vertical="center"/>
    </xf>
    <xf numFmtId="0" fontId="146" fillId="0" borderId="3" xfId="271" applyFont="1" applyBorder="1" applyAlignment="1">
      <alignment horizontal="left" vertical="center" wrapText="1"/>
    </xf>
    <xf numFmtId="0" fontId="146" fillId="0" borderId="9" xfId="271" applyFont="1" applyBorder="1" applyAlignment="1">
      <alignment horizontal="left" vertical="center" wrapText="1"/>
    </xf>
    <xf numFmtId="0" fontId="41" fillId="4" borderId="10" xfId="1" applyFont="1" applyFill="1" applyBorder="1" applyAlignment="1">
      <alignment horizontal="center" vertical="center" wrapText="1"/>
    </xf>
    <xf numFmtId="0" fontId="146" fillId="0" borderId="3" xfId="271" applyFont="1" applyBorder="1" applyAlignment="1">
      <alignment vertical="center"/>
    </xf>
    <xf numFmtId="0" fontId="146" fillId="0" borderId="9" xfId="271" applyFont="1" applyBorder="1" applyAlignment="1">
      <alignment vertical="center"/>
    </xf>
    <xf numFmtId="0" fontId="146" fillId="0" borderId="7" xfId="271" applyFont="1" applyBorder="1" applyAlignment="1">
      <alignment horizontal="left" vertical="center" wrapText="1"/>
    </xf>
    <xf numFmtId="0" fontId="146" fillId="49" borderId="7" xfId="271" applyFont="1" applyFill="1" applyBorder="1" applyAlignment="1">
      <alignment horizontal="left" vertical="center" wrapText="1"/>
    </xf>
    <xf numFmtId="0" fontId="146" fillId="0" borderId="3" xfId="271" applyFont="1" applyBorder="1" applyAlignment="1">
      <alignment horizontal="left" vertical="center"/>
    </xf>
    <xf numFmtId="0" fontId="146" fillId="0" borderId="9" xfId="271" applyFont="1" applyBorder="1" applyAlignment="1">
      <alignment horizontal="left" vertical="center"/>
    </xf>
    <xf numFmtId="0" fontId="146" fillId="49" borderId="9" xfId="271" applyFont="1" applyFill="1" applyBorder="1" applyAlignment="1">
      <alignment horizontal="left" vertical="center"/>
    </xf>
    <xf numFmtId="0" fontId="146" fillId="49" borderId="3" xfId="271" applyFont="1" applyFill="1" applyBorder="1" applyAlignment="1">
      <alignment vertical="center"/>
    </xf>
    <xf numFmtId="0" fontId="146" fillId="49" borderId="9" xfId="271" applyFont="1" applyFill="1" applyBorder="1" applyAlignment="1">
      <alignment vertical="center"/>
    </xf>
    <xf numFmtId="3" fontId="146" fillId="49" borderId="3" xfId="271" applyNumberFormat="1" applyFont="1" applyFill="1" applyBorder="1" applyAlignment="1">
      <alignment horizontal="left" vertical="center"/>
    </xf>
    <xf numFmtId="3" fontId="146" fillId="49" borderId="9" xfId="271" applyNumberFormat="1" applyFont="1" applyFill="1" applyBorder="1" applyAlignment="1">
      <alignment horizontal="left" vertical="center"/>
    </xf>
    <xf numFmtId="0" fontId="12" fillId="49" borderId="3" xfId="271" applyFont="1" applyFill="1" applyBorder="1" applyAlignment="1">
      <alignment horizontal="left" vertical="center" wrapText="1"/>
    </xf>
    <xf numFmtId="0" fontId="12" fillId="49" borderId="9" xfId="271" applyFont="1" applyFill="1" applyBorder="1" applyAlignment="1">
      <alignment horizontal="left" vertical="center" wrapText="1"/>
    </xf>
    <xf numFmtId="0" fontId="39" fillId="0" borderId="0" xfId="243" applyNumberFormat="1" applyFont="1" applyFill="1" applyBorder="1" applyAlignment="1" applyProtection="1">
      <alignment horizontal="center"/>
    </xf>
    <xf numFmtId="0" fontId="39" fillId="0" borderId="90" xfId="243" applyNumberFormat="1" applyFont="1" applyFill="1" applyBorder="1" applyAlignment="1" applyProtection="1">
      <alignment horizontal="center"/>
    </xf>
    <xf numFmtId="0" fontId="225" fillId="0" borderId="10" xfId="0" applyFont="1" applyBorder="1" applyAlignment="1">
      <alignment horizontal="left" vertical="center" wrapText="1"/>
    </xf>
    <xf numFmtId="0" fontId="224" fillId="0" borderId="2" xfId="0" applyFont="1" applyBorder="1" applyAlignment="1">
      <alignment horizontal="center" vertical="top" wrapText="1"/>
    </xf>
    <xf numFmtId="0" fontId="224" fillId="0" borderId="4" xfId="0" applyFont="1" applyBorder="1" applyAlignment="1">
      <alignment horizontal="center" vertical="top" wrapText="1"/>
    </xf>
    <xf numFmtId="0" fontId="224" fillId="0" borderId="5" xfId="0" applyFont="1" applyBorder="1" applyAlignment="1">
      <alignment horizontal="center" vertical="top" wrapText="1"/>
    </xf>
    <xf numFmtId="0" fontId="225" fillId="0" borderId="2" xfId="0" applyFont="1" applyBorder="1" applyAlignment="1">
      <alignment horizontal="center" vertical="center" wrapText="1"/>
    </xf>
    <xf numFmtId="0" fontId="225" fillId="0" borderId="5" xfId="0" applyFont="1" applyBorder="1" applyAlignment="1">
      <alignment horizontal="center" vertical="center" wrapText="1"/>
    </xf>
    <xf numFmtId="0" fontId="224" fillId="0" borderId="2" xfId="0" applyFont="1" applyBorder="1" applyAlignment="1">
      <alignment horizontal="center" vertical="center"/>
    </xf>
    <xf numFmtId="0" fontId="224" fillId="0" borderId="4" xfId="0" applyFont="1" applyBorder="1" applyAlignment="1">
      <alignment horizontal="center" vertical="center"/>
    </xf>
    <xf numFmtId="0" fontId="224" fillId="0" borderId="5" xfId="0" applyFont="1" applyBorder="1" applyAlignment="1">
      <alignment horizontal="center" vertical="center"/>
    </xf>
    <xf numFmtId="0" fontId="52" fillId="0" borderId="10" xfId="0" applyFont="1" applyBorder="1" applyAlignment="1">
      <alignment horizontal="left" vertical="center" wrapText="1"/>
    </xf>
    <xf numFmtId="0" fontId="2" fillId="0" borderId="4" xfId="0" applyFont="1" applyBorder="1" applyAlignment="1">
      <alignment horizontal="center" vertical="center" wrapText="1"/>
    </xf>
    <xf numFmtId="0" fontId="52" fillId="0" borderId="2" xfId="0" applyFont="1" applyBorder="1" applyAlignment="1">
      <alignment horizontal="center" vertical="center" wrapText="1"/>
    </xf>
    <xf numFmtId="0" fontId="52" fillId="0" borderId="5" xfId="0" applyFont="1" applyBorder="1" applyAlignment="1">
      <alignment horizontal="center" vertical="center" wrapText="1"/>
    </xf>
    <xf numFmtId="0" fontId="233" fillId="3" borderId="10" xfId="0" applyFont="1" applyFill="1" applyBorder="1" applyAlignment="1">
      <alignment horizontal="center" vertical="center" wrapText="1"/>
    </xf>
    <xf numFmtId="0" fontId="52" fillId="3" borderId="10" xfId="0" applyFont="1" applyFill="1" applyBorder="1" applyAlignment="1">
      <alignment horizontal="center" vertical="center" wrapText="1"/>
    </xf>
    <xf numFmtId="0" fontId="225" fillId="3" borderId="2" xfId="0" applyFont="1" applyFill="1" applyBorder="1" applyAlignment="1">
      <alignment horizontal="center" vertical="center" wrapText="1"/>
    </xf>
    <xf numFmtId="0" fontId="225" fillId="3" borderId="5" xfId="0" applyFont="1" applyFill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 wrapText="1"/>
    </xf>
    <xf numFmtId="0" fontId="52" fillId="0" borderId="15" xfId="0" applyFont="1" applyBorder="1" applyAlignment="1">
      <alignment horizontal="center" vertical="center" wrapText="1"/>
    </xf>
    <xf numFmtId="0" fontId="52" fillId="0" borderId="16" xfId="0" applyFont="1" applyBorder="1" applyAlignment="1">
      <alignment horizontal="center" vertical="center" wrapText="1"/>
    </xf>
    <xf numFmtId="0" fontId="224" fillId="0" borderId="10" xfId="0" applyFont="1" applyBorder="1" applyAlignment="1">
      <alignment horizontal="center"/>
    </xf>
    <xf numFmtId="0" fontId="228" fillId="0" borderId="2" xfId="0" applyFont="1" applyFill="1" applyBorder="1" applyAlignment="1">
      <alignment horizontal="center" wrapText="1"/>
    </xf>
    <xf numFmtId="0" fontId="217" fillId="0" borderId="5" xfId="0" applyFont="1" applyFill="1" applyBorder="1"/>
    <xf numFmtId="0" fontId="225" fillId="0" borderId="2" xfId="0" applyFont="1" applyBorder="1" applyAlignment="1">
      <alignment horizontal="left" vertical="center" wrapText="1"/>
    </xf>
    <xf numFmtId="0" fontId="225" fillId="0" borderId="4" xfId="0" applyFont="1" applyBorder="1" applyAlignment="1">
      <alignment horizontal="left" vertical="center"/>
    </xf>
    <xf numFmtId="0" fontId="225" fillId="0" borderId="5" xfId="0" applyFont="1" applyBorder="1" applyAlignment="1">
      <alignment horizontal="left" vertical="center"/>
    </xf>
    <xf numFmtId="0" fontId="225" fillId="0" borderId="3" xfId="0" applyFont="1" applyBorder="1" applyAlignment="1">
      <alignment horizontal="center" vertical="center" wrapText="1"/>
    </xf>
    <xf numFmtId="0" fontId="217" fillId="0" borderId="9" xfId="0" applyFont="1" applyBorder="1"/>
    <xf numFmtId="0" fontId="225" fillId="0" borderId="3" xfId="0" applyFont="1" applyBorder="1" applyAlignment="1">
      <alignment horizontal="center" vertical="center"/>
    </xf>
    <xf numFmtId="0" fontId="228" fillId="0" borderId="2" xfId="0" applyFont="1" applyFill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/>
    </xf>
    <xf numFmtId="0" fontId="52" fillId="0" borderId="10" xfId="0" applyFont="1" applyBorder="1" applyAlignment="1">
      <alignment horizontal="center" vertical="center" wrapText="1"/>
    </xf>
    <xf numFmtId="0" fontId="65" fillId="0" borderId="0" xfId="0" applyFont="1" applyBorder="1" applyAlignment="1">
      <alignment horizontal="center" vertical="center"/>
    </xf>
    <xf numFmtId="0" fontId="231" fillId="0" borderId="0" xfId="0" applyFont="1" applyBorder="1" applyAlignment="1">
      <alignment horizontal="center" vertical="center"/>
    </xf>
    <xf numFmtId="0" fontId="225" fillId="3" borderId="10" xfId="0" applyFont="1" applyFill="1" applyBorder="1" applyAlignment="1">
      <alignment horizontal="center" vertical="center"/>
    </xf>
    <xf numFmtId="0" fontId="225" fillId="3" borderId="8" xfId="0" applyFont="1" applyFill="1" applyBorder="1" applyAlignment="1">
      <alignment horizontal="center" vertical="center"/>
    </xf>
    <xf numFmtId="0" fontId="225" fillId="3" borderId="11" xfId="0" applyFont="1" applyFill="1" applyBorder="1" applyAlignment="1">
      <alignment horizontal="center" vertical="center"/>
    </xf>
    <xf numFmtId="0" fontId="225" fillId="3" borderId="15" xfId="0" applyFont="1" applyFill="1" applyBorder="1" applyAlignment="1">
      <alignment horizontal="center" vertical="center"/>
    </xf>
    <xf numFmtId="0" fontId="225" fillId="3" borderId="16" xfId="0" applyFont="1" applyFill="1" applyBorder="1" applyAlignment="1">
      <alignment horizontal="center" vertical="center"/>
    </xf>
    <xf numFmtId="0" fontId="225" fillId="3" borderId="10" xfId="0" applyFont="1" applyFill="1" applyBorder="1" applyAlignment="1">
      <alignment horizontal="center" vertical="center" wrapText="1"/>
    </xf>
    <xf numFmtId="0" fontId="225" fillId="3" borderId="10" xfId="0" applyFont="1" applyFill="1" applyBorder="1" applyAlignment="1">
      <alignment horizontal="center" vertical="top"/>
    </xf>
    <xf numFmtId="0" fontId="224" fillId="0" borderId="3" xfId="0" applyFont="1" applyBorder="1" applyAlignment="1">
      <alignment horizontal="center"/>
    </xf>
    <xf numFmtId="0" fontId="224" fillId="0" borderId="9" xfId="0" applyFont="1" applyBorder="1" applyAlignment="1">
      <alignment horizontal="center"/>
    </xf>
    <xf numFmtId="0" fontId="228" fillId="0" borderId="8" xfId="0" applyFont="1" applyFill="1" applyBorder="1" applyAlignment="1">
      <alignment horizontal="center" vertical="center" wrapText="1"/>
    </xf>
    <xf numFmtId="0" fontId="228" fillId="0" borderId="11" xfId="0" applyFont="1" applyFill="1" applyBorder="1" applyAlignment="1">
      <alignment horizontal="center" vertical="center" wrapText="1"/>
    </xf>
    <xf numFmtId="0" fontId="225" fillId="0" borderId="10" xfId="0" applyFont="1" applyFill="1" applyBorder="1" applyAlignment="1">
      <alignment horizontal="center" vertical="center" wrapText="1"/>
    </xf>
    <xf numFmtId="0" fontId="225" fillId="0" borderId="10" xfId="0" applyFont="1" applyFill="1" applyBorder="1" applyAlignment="1">
      <alignment horizontal="center" vertical="center"/>
    </xf>
    <xf numFmtId="0" fontId="228" fillId="0" borderId="5" xfId="0" applyFont="1" applyFill="1" applyBorder="1" applyAlignment="1">
      <alignment horizontal="center" vertical="center" wrapText="1"/>
    </xf>
    <xf numFmtId="14" fontId="236" fillId="0" borderId="1" xfId="0" applyNumberFormat="1" applyFont="1" applyBorder="1" applyAlignment="1">
      <alignment horizontal="center"/>
    </xf>
    <xf numFmtId="0" fontId="225" fillId="3" borderId="3" xfId="0" applyFont="1" applyFill="1" applyBorder="1" applyAlignment="1">
      <alignment horizontal="center" vertical="center"/>
    </xf>
    <xf numFmtId="0" fontId="225" fillId="3" borderId="9" xfId="0" applyFont="1" applyFill="1" applyBorder="1" applyAlignment="1">
      <alignment horizontal="center" vertical="center"/>
    </xf>
    <xf numFmtId="0" fontId="228" fillId="3" borderId="10" xfId="0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left" vertical="center"/>
    </xf>
    <xf numFmtId="0" fontId="2" fillId="0" borderId="4" xfId="0" applyFont="1" applyBorder="1" applyAlignment="1">
      <alignment horizontal="left" vertical="center"/>
    </xf>
    <xf numFmtId="0" fontId="2" fillId="0" borderId="5" xfId="0" applyFont="1" applyBorder="1" applyAlignment="1">
      <alignment horizontal="left" vertical="center"/>
    </xf>
    <xf numFmtId="0" fontId="57" fillId="4" borderId="10" xfId="368" applyFont="1" applyFill="1" applyBorder="1" applyAlignment="1">
      <alignment horizontal="center" vertical="center" wrapText="1"/>
    </xf>
    <xf numFmtId="0" fontId="71" fillId="2" borderId="8" xfId="271" applyFont="1" applyFill="1" applyBorder="1" applyAlignment="1">
      <alignment horizontal="center" vertical="center"/>
    </xf>
    <xf numFmtId="0" fontId="71" fillId="2" borderId="11" xfId="271" applyFont="1" applyFill="1" applyBorder="1" applyAlignment="1">
      <alignment horizontal="center" vertical="center"/>
    </xf>
    <xf numFmtId="0" fontId="71" fillId="2" borderId="15" xfId="271" applyFont="1" applyFill="1" applyBorder="1" applyAlignment="1">
      <alignment horizontal="center" vertical="center"/>
    </xf>
    <xf numFmtId="0" fontId="71" fillId="2" borderId="16" xfId="271" applyFont="1" applyFill="1" applyBorder="1" applyAlignment="1">
      <alignment horizontal="center" vertical="center"/>
    </xf>
    <xf numFmtId="0" fontId="71" fillId="2" borderId="10" xfId="271" applyFont="1" applyFill="1" applyBorder="1" applyAlignment="1">
      <alignment horizontal="center" vertical="center"/>
    </xf>
    <xf numFmtId="9" fontId="6" fillId="0" borderId="10" xfId="4" applyFont="1" applyBorder="1" applyAlignment="1">
      <alignment horizontal="center" vertical="center"/>
    </xf>
    <xf numFmtId="0" fontId="2" fillId="0" borderId="2" xfId="0" applyFont="1" applyBorder="1" applyAlignment="1">
      <alignment horizontal="left" vertical="center" wrapText="1"/>
    </xf>
    <xf numFmtId="0" fontId="2" fillId="0" borderId="4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left" vertical="center" wrapText="1"/>
    </xf>
    <xf numFmtId="1" fontId="52" fillId="0" borderId="10" xfId="0" applyNumberFormat="1" applyFont="1" applyBorder="1" applyAlignment="1">
      <alignment horizontal="center" vertical="center" wrapText="1"/>
    </xf>
    <xf numFmtId="0" fontId="2" fillId="0" borderId="8" xfId="0" applyFont="1" applyBorder="1" applyAlignment="1">
      <alignment horizontal="left" vertical="top" wrapText="1"/>
    </xf>
    <xf numFmtId="0" fontId="2" fillId="0" borderId="12" xfId="0" applyFont="1" applyBorder="1" applyAlignment="1">
      <alignment horizontal="left" vertical="top" wrapText="1"/>
    </xf>
    <xf numFmtId="0" fontId="2" fillId="0" borderId="11" xfId="0" applyFont="1" applyBorder="1" applyAlignment="1">
      <alignment horizontal="left" vertical="top" wrapText="1"/>
    </xf>
    <xf numFmtId="0" fontId="2" fillId="0" borderId="6" xfId="0" applyFont="1" applyBorder="1" applyAlignment="1">
      <alignment horizontal="left" vertical="top" wrapText="1"/>
    </xf>
    <xf numFmtId="0" fontId="2" fillId="0" borderId="0" xfId="0" applyFont="1" applyBorder="1" applyAlignment="1">
      <alignment horizontal="left" vertical="top" wrapText="1"/>
    </xf>
    <xf numFmtId="0" fontId="2" fillId="0" borderId="14" xfId="0" applyFont="1" applyBorder="1" applyAlignment="1">
      <alignment horizontal="left" vertical="top" wrapText="1"/>
    </xf>
    <xf numFmtId="0" fontId="2" fillId="0" borderId="15" xfId="0" applyFont="1" applyBorder="1" applyAlignment="1">
      <alignment horizontal="left" vertical="top" wrapText="1"/>
    </xf>
    <xf numFmtId="0" fontId="2" fillId="0" borderId="1" xfId="0" applyFont="1" applyBorder="1" applyAlignment="1">
      <alignment horizontal="left" vertical="top" wrapText="1"/>
    </xf>
    <xf numFmtId="0" fontId="2" fillId="0" borderId="16" xfId="0" applyFont="1" applyBorder="1" applyAlignment="1">
      <alignment horizontal="left" vertical="top" wrapText="1"/>
    </xf>
    <xf numFmtId="0" fontId="52" fillId="42" borderId="2" xfId="0" applyFont="1" applyFill="1" applyBorder="1" applyAlignment="1">
      <alignment horizontal="center" vertical="center"/>
    </xf>
    <xf numFmtId="0" fontId="52" fillId="42" borderId="4" xfId="0" applyFont="1" applyFill="1" applyBorder="1" applyAlignment="1">
      <alignment horizontal="center" vertical="center"/>
    </xf>
    <xf numFmtId="0" fontId="52" fillId="42" borderId="5" xfId="0" applyFont="1" applyFill="1" applyBorder="1" applyAlignment="1">
      <alignment horizontal="center" vertical="center"/>
    </xf>
    <xf numFmtId="0" fontId="52" fillId="42" borderId="10" xfId="0" applyFont="1" applyFill="1" applyBorder="1" applyAlignment="1">
      <alignment horizontal="center" vertical="center"/>
    </xf>
    <xf numFmtId="0" fontId="277" fillId="0" borderId="104" xfId="0" applyFont="1" applyBorder="1" applyAlignment="1">
      <alignment horizontal="center"/>
    </xf>
    <xf numFmtId="14" fontId="52" fillId="0" borderId="0" xfId="0" applyNumberFormat="1" applyFont="1" applyBorder="1" applyAlignment="1">
      <alignment horizontal="center"/>
    </xf>
    <xf numFmtId="0" fontId="52" fillId="0" borderId="3" xfId="0" applyFont="1" applyBorder="1" applyAlignment="1">
      <alignment horizontal="center" vertical="center" wrapText="1"/>
    </xf>
    <xf numFmtId="0" fontId="52" fillId="0" borderId="9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left" vertical="center" wrapText="1"/>
    </xf>
    <xf numFmtId="0" fontId="2" fillId="0" borderId="11" xfId="0" applyFont="1" applyBorder="1" applyAlignment="1">
      <alignment horizontal="left" vertical="center" wrapText="1"/>
    </xf>
    <xf numFmtId="0" fontId="2" fillId="0" borderId="15" xfId="0" applyFont="1" applyBorder="1" applyAlignment="1">
      <alignment horizontal="left" vertical="center" wrapText="1"/>
    </xf>
    <xf numFmtId="0" fontId="2" fillId="0" borderId="16" xfId="0" applyFont="1" applyBorder="1" applyAlignment="1">
      <alignment horizontal="left" vertical="center" wrapText="1"/>
    </xf>
    <xf numFmtId="0" fontId="2" fillId="0" borderId="3" xfId="0" applyFont="1" applyBorder="1" applyAlignment="1">
      <alignment horizontal="left" vertical="center" wrapText="1"/>
    </xf>
    <xf numFmtId="0" fontId="2" fillId="0" borderId="9" xfId="0" applyFont="1" applyBorder="1" applyAlignment="1">
      <alignment horizontal="left" vertical="center" wrapText="1"/>
    </xf>
    <xf numFmtId="0" fontId="276" fillId="0" borderId="12" xfId="0" applyFont="1" applyBorder="1" applyAlignment="1">
      <alignment horizontal="center" vertical="center"/>
    </xf>
    <xf numFmtId="0" fontId="52" fillId="0" borderId="3" xfId="0" applyFont="1" applyBorder="1" applyAlignment="1">
      <alignment horizontal="left" vertical="center" wrapText="1"/>
    </xf>
    <xf numFmtId="0" fontId="52" fillId="0" borderId="7" xfId="0" applyFont="1" applyBorder="1" applyAlignment="1">
      <alignment horizontal="left" vertical="center" wrapText="1"/>
    </xf>
    <xf numFmtId="0" fontId="52" fillId="0" borderId="9" xfId="0" applyFont="1" applyBorder="1" applyAlignment="1">
      <alignment horizontal="left" vertical="center" wrapText="1"/>
    </xf>
    <xf numFmtId="0" fontId="2" fillId="0" borderId="8" xfId="0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 wrapText="1"/>
    </xf>
    <xf numFmtId="0" fontId="52" fillId="0" borderId="7" xfId="0" applyFont="1" applyBorder="1" applyAlignment="1">
      <alignment horizontal="center" vertical="center" wrapText="1"/>
    </xf>
    <xf numFmtId="0" fontId="156" fillId="0" borderId="10" xfId="271" applyFont="1" applyBorder="1" applyAlignment="1">
      <alignment horizontal="left" vertical="center" wrapText="1"/>
    </xf>
    <xf numFmtId="0" fontId="156" fillId="0" borderId="10" xfId="271" applyFont="1" applyBorder="1" applyAlignment="1">
      <alignment horizontal="left" vertical="center"/>
    </xf>
    <xf numFmtId="0" fontId="156" fillId="0" borderId="10" xfId="271" applyFont="1" applyBorder="1" applyAlignment="1">
      <alignment horizontal="center" vertical="center"/>
    </xf>
    <xf numFmtId="0" fontId="44" fillId="0" borderId="3" xfId="271" applyFont="1" applyBorder="1" applyAlignment="1">
      <alignment horizontal="center"/>
    </xf>
    <xf numFmtId="0" fontId="44" fillId="0" borderId="9" xfId="271" applyFont="1" applyBorder="1" applyAlignment="1">
      <alignment horizontal="center"/>
    </xf>
    <xf numFmtId="0" fontId="116" fillId="0" borderId="10" xfId="271" applyFont="1" applyBorder="1" applyAlignment="1">
      <alignment horizontal="left" vertical="center"/>
    </xf>
    <xf numFmtId="0" fontId="116" fillId="0" borderId="10" xfId="271" applyFont="1" applyBorder="1" applyAlignment="1">
      <alignment horizontal="center" vertical="center"/>
    </xf>
    <xf numFmtId="0" fontId="116" fillId="0" borderId="3" xfId="271" applyFont="1" applyBorder="1" applyAlignment="1">
      <alignment horizontal="left" vertical="center" wrapText="1"/>
    </xf>
    <xf numFmtId="0" fontId="0" fillId="0" borderId="9" xfId="0" applyBorder="1" applyAlignment="1">
      <alignment horizontal="left"/>
    </xf>
    <xf numFmtId="0" fontId="116" fillId="0" borderId="3" xfId="271" applyFont="1" applyBorder="1" applyAlignment="1">
      <alignment horizontal="center" vertical="center"/>
    </xf>
    <xf numFmtId="0" fontId="116" fillId="0" borderId="9" xfId="271" applyFont="1" applyBorder="1" applyAlignment="1">
      <alignment horizontal="center" vertical="center"/>
    </xf>
    <xf numFmtId="0" fontId="157" fillId="3" borderId="2" xfId="271" applyFont="1" applyFill="1" applyBorder="1" applyAlignment="1">
      <alignment horizontal="center" vertical="center" wrapText="1"/>
    </xf>
    <xf numFmtId="0" fontId="157" fillId="3" borderId="4" xfId="271" applyFont="1" applyFill="1" applyBorder="1" applyAlignment="1">
      <alignment horizontal="center" vertical="center" wrapText="1"/>
    </xf>
    <xf numFmtId="0" fontId="157" fillId="3" borderId="5" xfId="271" applyFont="1" applyFill="1" applyBorder="1" applyAlignment="1">
      <alignment horizontal="center" vertical="center" wrapText="1"/>
    </xf>
    <xf numFmtId="0" fontId="116" fillId="0" borderId="9" xfId="271" applyFont="1" applyBorder="1" applyAlignment="1">
      <alignment horizontal="left" vertical="center" wrapText="1"/>
    </xf>
    <xf numFmtId="0" fontId="157" fillId="3" borderId="10" xfId="271" applyFont="1" applyFill="1" applyBorder="1" applyAlignment="1">
      <alignment horizontal="center" vertical="center" wrapText="1"/>
    </xf>
    <xf numFmtId="0" fontId="156" fillId="0" borderId="10" xfId="271" applyFont="1" applyBorder="1" applyAlignment="1">
      <alignment horizontal="center" vertical="center" wrapText="1"/>
    </xf>
    <xf numFmtId="0" fontId="44" fillId="0" borderId="7" xfId="271" applyFont="1" applyBorder="1" applyAlignment="1">
      <alignment horizontal="center"/>
    </xf>
    <xf numFmtId="0" fontId="116" fillId="0" borderId="3" xfId="271" applyFont="1" applyFill="1" applyBorder="1" applyAlignment="1">
      <alignment horizontal="center" vertical="center"/>
    </xf>
    <xf numFmtId="0" fontId="116" fillId="0" borderId="9" xfId="271" applyFont="1" applyFill="1" applyBorder="1" applyAlignment="1">
      <alignment horizontal="center" vertical="center"/>
    </xf>
    <xf numFmtId="0" fontId="116" fillId="0" borderId="3" xfId="271" applyFont="1" applyBorder="1" applyAlignment="1">
      <alignment horizontal="left" vertical="center"/>
    </xf>
    <xf numFmtId="0" fontId="116" fillId="0" borderId="9" xfId="271" applyFont="1" applyBorder="1" applyAlignment="1">
      <alignment horizontal="left" vertical="center"/>
    </xf>
    <xf numFmtId="0" fontId="156" fillId="0" borderId="8" xfId="271" applyFont="1" applyBorder="1" applyAlignment="1">
      <alignment horizontal="left" vertical="center" wrapText="1"/>
    </xf>
    <xf numFmtId="0" fontId="156" fillId="0" borderId="11" xfId="271" applyFont="1" applyBorder="1" applyAlignment="1">
      <alignment horizontal="left" vertical="center" wrapText="1"/>
    </xf>
    <xf numFmtId="0" fontId="156" fillId="0" borderId="15" xfId="271" applyFont="1" applyBorder="1" applyAlignment="1">
      <alignment horizontal="left" vertical="center" wrapText="1"/>
    </xf>
    <xf numFmtId="0" fontId="156" fillId="0" borderId="16" xfId="271" applyFont="1" applyBorder="1" applyAlignment="1">
      <alignment horizontal="left" vertical="center" wrapText="1"/>
    </xf>
    <xf numFmtId="0" fontId="156" fillId="0" borderId="3" xfId="271" applyFont="1" applyBorder="1" applyAlignment="1">
      <alignment horizontal="center" vertical="center"/>
    </xf>
    <xf numFmtId="0" fontId="156" fillId="0" borderId="9" xfId="271" applyFont="1" applyBorder="1" applyAlignment="1">
      <alignment horizontal="center" vertical="center"/>
    </xf>
    <xf numFmtId="0" fontId="156" fillId="54" borderId="10" xfId="271" applyFont="1" applyFill="1" applyBorder="1" applyAlignment="1">
      <alignment horizontal="left" vertical="center"/>
    </xf>
    <xf numFmtId="0" fontId="76" fillId="0" borderId="0" xfId="271" applyFont="1" applyBorder="1" applyAlignment="1">
      <alignment horizontal="center"/>
    </xf>
    <xf numFmtId="0" fontId="76" fillId="0" borderId="90" xfId="271" applyFont="1" applyBorder="1" applyAlignment="1">
      <alignment horizontal="center"/>
    </xf>
    <xf numFmtId="0" fontId="83" fillId="0" borderId="89" xfId="271" applyFont="1" applyBorder="1" applyAlignment="1">
      <alignment horizontal="center" vertical="center"/>
    </xf>
    <xf numFmtId="0" fontId="44" fillId="0" borderId="0" xfId="271" applyFont="1" applyBorder="1" applyAlignment="1">
      <alignment horizontal="right"/>
    </xf>
    <xf numFmtId="1" fontId="41" fillId="3" borderId="10" xfId="362" applyNumberFormat="1" applyFont="1" applyFill="1" applyBorder="1" applyAlignment="1" applyProtection="1">
      <alignment horizontal="center" vertical="center" wrapText="1"/>
    </xf>
    <xf numFmtId="0" fontId="41" fillId="3" borderId="10" xfId="271" applyFont="1" applyFill="1" applyBorder="1" applyAlignment="1">
      <alignment horizontal="center" vertical="center"/>
    </xf>
    <xf numFmtId="0" fontId="41" fillId="2" borderId="3" xfId="271" applyFont="1" applyFill="1" applyBorder="1" applyAlignment="1" applyProtection="1">
      <alignment horizontal="center" vertical="center" wrapText="1"/>
      <protection hidden="1"/>
    </xf>
    <xf numFmtId="0" fontId="41" fillId="2" borderId="9" xfId="271" applyFont="1" applyFill="1" applyBorder="1" applyAlignment="1" applyProtection="1">
      <alignment horizontal="center" vertical="center" wrapText="1"/>
      <protection hidden="1"/>
    </xf>
    <xf numFmtId="0" fontId="41" fillId="2" borderId="3" xfId="271" applyFont="1" applyFill="1" applyBorder="1" applyAlignment="1" applyProtection="1">
      <alignment horizontal="center" vertical="center"/>
      <protection hidden="1"/>
    </xf>
    <xf numFmtId="0" fontId="41" fillId="2" borderId="9" xfId="271" applyFont="1" applyFill="1" applyBorder="1" applyAlignment="1" applyProtection="1">
      <alignment horizontal="center" vertical="center"/>
      <protection hidden="1"/>
    </xf>
    <xf numFmtId="0" fontId="41" fillId="2" borderId="10" xfId="271" applyFont="1" applyFill="1" applyBorder="1" applyAlignment="1" applyProtection="1">
      <alignment horizontal="center" vertical="center"/>
      <protection hidden="1"/>
    </xf>
  </cellXfs>
  <cellStyles count="395">
    <cellStyle name=" 1" xfId="6"/>
    <cellStyle name="_~1613671" xfId="7"/>
    <cellStyle name="_~1613671 2" xfId="8"/>
    <cellStyle name="_~1613671 3" xfId="9"/>
    <cellStyle name="_~1613671 4" xfId="10"/>
    <cellStyle name="_~7644457" xfId="11"/>
    <cellStyle name="_~7644457 2" xfId="12"/>
    <cellStyle name="_~7644457 3" xfId="13"/>
    <cellStyle name="_~7644457 4" xfId="14"/>
    <cellStyle name="_price_der_nov_раб" xfId="15"/>
    <cellStyle name="_price_der_nov_раб_~2260219" xfId="16"/>
    <cellStyle name="_price_der_nov_раб_~2260219 2" xfId="17"/>
    <cellStyle name="_price_der_nov_раб_~2260219_~2131575" xfId="18"/>
    <cellStyle name="_price_der_nov_раб_~2260219_Decra" xfId="19"/>
    <cellStyle name="_price_der_nov_раб_~2260219_Vilpe" xfId="20"/>
    <cellStyle name="_price_der_nov_раб_~2260219_Дилерский прайс-лист 03.03.14 Единый+Q35" xfId="21"/>
    <cellStyle name="_price_der_nov_раб_~2260219_Макет временных" xfId="22"/>
    <cellStyle name="_price_der_nov_раб_~2260219_Прайс полный ассортимент Центр от 09.07" xfId="23"/>
    <cellStyle name="_price_der_nov_раб_~2260219_Розничный прайс-лист 03.03.14" xfId="24"/>
    <cellStyle name="_price_der_nov_раб_~2260219_Розничный прайс-лист 07.04.14" xfId="25"/>
    <cellStyle name="_price_der_nov_раб_~2260219_Цокольные панели Ванштайн" xfId="26"/>
    <cellStyle name="_price_der_nov_раб_~2260219_Цокольные панели Ванштайн 2" xfId="27"/>
    <cellStyle name="_price_der_nov_раб_~6447645" xfId="28"/>
    <cellStyle name="_price_der_nov_раб_GL розничный прайс Краснодар - 03.09.12" xfId="29"/>
    <cellStyle name="_price_der_nov_раб_дилерский прайс - лист 17.02.12 ПИТЕР" xfId="30"/>
    <cellStyle name="_price_der_nov_раб_дилерский прайс - лист 18.04.12" xfId="31"/>
    <cellStyle name="_price_der_nov_раб_Прайс для Краснодара 2" xfId="32"/>
    <cellStyle name="_price_der_nov_раб_Прайс полный ассортимент 22.12.2010  Центр" xfId="33"/>
    <cellStyle name="_price_der_nov_раб_Прайс полный ассортимент от 06.02.12 Одинцово" xfId="34"/>
    <cellStyle name="_price_der_nov_раб_Прайс полный ассортимент от 06.02.12 Центр" xfId="35"/>
    <cellStyle name="_price_der_nov_раб_Прайс полный ассортимент от 19.10.2011 Центр" xfId="36"/>
    <cellStyle name="_price_der_nov_раб_Прайс полный ассортимент СПБ  от 22.08.12 Ворота + фигурный профнастил" xfId="37"/>
    <cellStyle name="_price_der_nov_раб_Прайс полный ассортимент Центр от 01.06.12" xfId="38"/>
    <cellStyle name="_price_der_nov_раб_Прайс полный ассортимент Центр от 06.08.12" xfId="39"/>
    <cellStyle name="_price_der_nov_раб_Прайс полный ассортимент Центр от 22.08.12 Ворота + фигурный профнастил" xfId="40"/>
    <cellStyle name="_price_der_nov_раб_Прайс полный ассортимент Центр от 29.06.12" xfId="41"/>
    <cellStyle name="_Книга2" xfId="42"/>
    <cellStyle name="_Книга2 2" xfId="43"/>
    <cellStyle name="_Книга2 3" xfId="44"/>
    <cellStyle name="_Книга2 4" xfId="45"/>
    <cellStyle name="_лестницы" xfId="46"/>
    <cellStyle name="_лестницы 2" xfId="47"/>
    <cellStyle name="_лестницы 3" xfId="48"/>
    <cellStyle name="_лестницы 4" xfId="49"/>
    <cellStyle name="_прайс-лист розница" xfId="50"/>
    <cellStyle name="_прайс-лист розница 2" xfId="51"/>
    <cellStyle name="_прайс-лист розница 3" xfId="52"/>
    <cellStyle name="_прайс-лист розница 4" xfId="53"/>
    <cellStyle name="-15-1976" xfId="54"/>
    <cellStyle name="-15-1976 2" xfId="55"/>
    <cellStyle name="-15-1976 3" xfId="56"/>
    <cellStyle name="-15-1976 4" xfId="57"/>
    <cellStyle name="20% - Акцент1 2" xfId="58"/>
    <cellStyle name="20% - Акцент1 2 2" xfId="59"/>
    <cellStyle name="20% - Акцент1 2 3" xfId="60"/>
    <cellStyle name="20% - Акцент1 2 4" xfId="61"/>
    <cellStyle name="20% - Акцент1 3" xfId="62"/>
    <cellStyle name="20% - Акцент2 2" xfId="63"/>
    <cellStyle name="20% - Акцент2 2 2" xfId="64"/>
    <cellStyle name="20% - Акцент2 2 3" xfId="65"/>
    <cellStyle name="20% - Акцент2 2 4" xfId="66"/>
    <cellStyle name="20% - Акцент2 3" xfId="67"/>
    <cellStyle name="20% - Акцент3 2" xfId="68"/>
    <cellStyle name="20% - Акцент3 2 2" xfId="69"/>
    <cellStyle name="20% - Акцент3 2 3" xfId="70"/>
    <cellStyle name="20% - Акцент3 2 4" xfId="71"/>
    <cellStyle name="20% - Акцент3 3" xfId="72"/>
    <cellStyle name="20% - Акцент4 2" xfId="73"/>
    <cellStyle name="20% - Акцент4 2 2" xfId="74"/>
    <cellStyle name="20% - Акцент4 2 3" xfId="75"/>
    <cellStyle name="20% - Акцент4 2 4" xfId="76"/>
    <cellStyle name="20% - Акцент4 3" xfId="77"/>
    <cellStyle name="20% - Акцент5 2" xfId="78"/>
    <cellStyle name="20% - Акцент5 2 2" xfId="79"/>
    <cellStyle name="20% - Акцент5 2 3" xfId="80"/>
    <cellStyle name="20% - Акцент5 2 4" xfId="81"/>
    <cellStyle name="20% - Акцент5 3" xfId="82"/>
    <cellStyle name="20% - Акцент6 2" xfId="83"/>
    <cellStyle name="20% - Акцент6 2 2" xfId="84"/>
    <cellStyle name="20% - Акцент6 2 3" xfId="85"/>
    <cellStyle name="20% - Акцент6 2 4" xfId="86"/>
    <cellStyle name="20% - Акцент6 3" xfId="87"/>
    <cellStyle name="40% - Акцент1 2" xfId="88"/>
    <cellStyle name="40% - Акцент1 2 2" xfId="89"/>
    <cellStyle name="40% - Акцент1 2 3" xfId="90"/>
    <cellStyle name="40% - Акцент1 2 4" xfId="91"/>
    <cellStyle name="40% - Акцент1 3" xfId="92"/>
    <cellStyle name="40% - Акцент2 2" xfId="93"/>
    <cellStyle name="40% - Акцент2 2 2" xfId="94"/>
    <cellStyle name="40% - Акцент2 2 3" xfId="95"/>
    <cellStyle name="40% - Акцент2 2 4" xfId="96"/>
    <cellStyle name="40% - Акцент2 3" xfId="97"/>
    <cellStyle name="40% - Акцент3 2" xfId="98"/>
    <cellStyle name="40% - Акцент3 2 2" xfId="99"/>
    <cellStyle name="40% - Акцент3 2 3" xfId="100"/>
    <cellStyle name="40% - Акцент3 2 4" xfId="101"/>
    <cellStyle name="40% - Акцент3 3" xfId="102"/>
    <cellStyle name="40% - Акцент4 2" xfId="103"/>
    <cellStyle name="40% - Акцент4 2 2" xfId="104"/>
    <cellStyle name="40% - Акцент4 2 3" xfId="105"/>
    <cellStyle name="40% - Акцент4 2 4" xfId="106"/>
    <cellStyle name="40% - Акцент4 3" xfId="107"/>
    <cellStyle name="40% - Акцент5 2" xfId="108"/>
    <cellStyle name="40% - Акцент5 2 2" xfId="109"/>
    <cellStyle name="40% - Акцент5 2 3" xfId="110"/>
    <cellStyle name="40% - Акцент5 2 4" xfId="111"/>
    <cellStyle name="40% - Акцент5 3" xfId="112"/>
    <cellStyle name="40% - Акцент6 2" xfId="113"/>
    <cellStyle name="40% - Акцент6 2 2" xfId="114"/>
    <cellStyle name="40% - Акцент6 2 3" xfId="115"/>
    <cellStyle name="40% - Акцент6 2 4" xfId="116"/>
    <cellStyle name="40% - Акцент6 3" xfId="117"/>
    <cellStyle name="60% - Акцент1 2" xfId="118"/>
    <cellStyle name="60% - Акцент1 2 2" xfId="119"/>
    <cellStyle name="60% - Акцент1 2 3" xfId="120"/>
    <cellStyle name="60% - Акцент1 2 4" xfId="121"/>
    <cellStyle name="60% - Акцент1 3" xfId="122"/>
    <cellStyle name="60% - Акцент2 2" xfId="123"/>
    <cellStyle name="60% - Акцент2 2 2" xfId="124"/>
    <cellStyle name="60% - Акцент2 2 3" xfId="125"/>
    <cellStyle name="60% - Акцент2 2 4" xfId="126"/>
    <cellStyle name="60% - Акцент2 3" xfId="127"/>
    <cellStyle name="60% - Акцент3 2" xfId="128"/>
    <cellStyle name="60% - Акцент3 2 2" xfId="129"/>
    <cellStyle name="60% - Акцент3 2 3" xfId="130"/>
    <cellStyle name="60% - Акцент3 2 4" xfId="131"/>
    <cellStyle name="60% - Акцент3 3" xfId="132"/>
    <cellStyle name="60% - Акцент4 2" xfId="133"/>
    <cellStyle name="60% - Акцент4 2 2" xfId="134"/>
    <cellStyle name="60% - Акцент4 2 3" xfId="135"/>
    <cellStyle name="60% - Акцент4 2 4" xfId="136"/>
    <cellStyle name="60% - Акцент4 3" xfId="137"/>
    <cellStyle name="60% - Акцент5 2" xfId="138"/>
    <cellStyle name="60% - Акцент5 2 2" xfId="139"/>
    <cellStyle name="60% - Акцент5 2 3" xfId="140"/>
    <cellStyle name="60% - Акцент5 2 4" xfId="141"/>
    <cellStyle name="60% - Акцент5 3" xfId="142"/>
    <cellStyle name="60% - Акцент6 2" xfId="143"/>
    <cellStyle name="60% - Акцент6 2 2" xfId="144"/>
    <cellStyle name="60% - Акцент6 2 3" xfId="145"/>
    <cellStyle name="60% - Акцент6 2 4" xfId="146"/>
    <cellStyle name="60% - Акцент6 3" xfId="147"/>
    <cellStyle name="Euro" xfId="148"/>
    <cellStyle name="Euro 2" xfId="149"/>
    <cellStyle name="Euro 3" xfId="150"/>
    <cellStyle name="Euro 4" xfId="151"/>
    <cellStyle name="Excel Built-in Normal" xfId="387"/>
    <cellStyle name="Normal 2" xfId="152"/>
    <cellStyle name="Normal_Sheet1" xfId="153"/>
    <cellStyle name="Standaard 10" xfId="154"/>
    <cellStyle name="Standaard 10 2" xfId="155"/>
    <cellStyle name="Standaard 10 3" xfId="156"/>
    <cellStyle name="Standaard 10 4" xfId="157"/>
    <cellStyle name="Standaard 11" xfId="158"/>
    <cellStyle name="Standaard 11 2" xfId="159"/>
    <cellStyle name="Standaard 11 3" xfId="160"/>
    <cellStyle name="Standaard 11 4" xfId="161"/>
    <cellStyle name="Standaard 12" xfId="162"/>
    <cellStyle name="Standaard 12 2" xfId="163"/>
    <cellStyle name="Standaard 12 3" xfId="164"/>
    <cellStyle name="Standaard 12 4" xfId="165"/>
    <cellStyle name="Standaard 2" xfId="166"/>
    <cellStyle name="Standaard 2 2" xfId="167"/>
    <cellStyle name="Standaard 2 3" xfId="168"/>
    <cellStyle name="Standaard 2 4" xfId="169"/>
    <cellStyle name="Standaard 3" xfId="170"/>
    <cellStyle name="Standaard 3 2" xfId="171"/>
    <cellStyle name="Standaard 3 3" xfId="172"/>
    <cellStyle name="Standaard 3 4" xfId="173"/>
    <cellStyle name="Standaard 4" xfId="174"/>
    <cellStyle name="Standaard 4 2" xfId="175"/>
    <cellStyle name="Standaard 4 3" xfId="176"/>
    <cellStyle name="Standaard 4 4" xfId="177"/>
    <cellStyle name="Standaard 5" xfId="178"/>
    <cellStyle name="Standaard 5 2" xfId="179"/>
    <cellStyle name="Standaard 5 3" xfId="180"/>
    <cellStyle name="Standaard 5 4" xfId="181"/>
    <cellStyle name="Standaard 6" xfId="182"/>
    <cellStyle name="Standaard 6 2" xfId="183"/>
    <cellStyle name="Standaard 6 3" xfId="184"/>
    <cellStyle name="Standaard 6 4" xfId="185"/>
    <cellStyle name="Standaard 7" xfId="186"/>
    <cellStyle name="Standaard 7 2" xfId="187"/>
    <cellStyle name="Standaard 7 3" xfId="188"/>
    <cellStyle name="Standaard 7 4" xfId="189"/>
    <cellStyle name="Standaard 8" xfId="190"/>
    <cellStyle name="Standaard 8 2" xfId="191"/>
    <cellStyle name="Standaard 8 3" xfId="192"/>
    <cellStyle name="Standaard 8 4" xfId="193"/>
    <cellStyle name="Standaard 9" xfId="194"/>
    <cellStyle name="Standaard 9 2" xfId="195"/>
    <cellStyle name="Standaard 9 3" xfId="196"/>
    <cellStyle name="Standaard 9 4" xfId="197"/>
    <cellStyle name="Акцент1 2" xfId="198"/>
    <cellStyle name="Акцент1 2 2" xfId="199"/>
    <cellStyle name="Акцент1 2 3" xfId="200"/>
    <cellStyle name="Акцент1 2 4" xfId="201"/>
    <cellStyle name="Акцент1 3" xfId="202"/>
    <cellStyle name="Акцент2 2" xfId="203"/>
    <cellStyle name="Акцент2 2 2" xfId="204"/>
    <cellStyle name="Акцент2 2 3" xfId="205"/>
    <cellStyle name="Акцент2 2 4" xfId="206"/>
    <cellStyle name="Акцент2 3" xfId="207"/>
    <cellStyle name="Акцент3 2" xfId="208"/>
    <cellStyle name="Акцент3 2 2" xfId="209"/>
    <cellStyle name="Акцент3 2 3" xfId="210"/>
    <cellStyle name="Акцент3 2 4" xfId="211"/>
    <cellStyle name="Акцент3 3" xfId="212"/>
    <cellStyle name="Акцент4 2" xfId="213"/>
    <cellStyle name="Акцент4 2 2" xfId="214"/>
    <cellStyle name="Акцент4 2 3" xfId="215"/>
    <cellStyle name="Акцент4 2 4" xfId="216"/>
    <cellStyle name="Акцент4 3" xfId="217"/>
    <cellStyle name="Акцент5 2" xfId="218"/>
    <cellStyle name="Акцент5 2 2" xfId="219"/>
    <cellStyle name="Акцент5 2 3" xfId="220"/>
    <cellStyle name="Акцент5 2 4" xfId="221"/>
    <cellStyle name="Акцент5 3" xfId="222"/>
    <cellStyle name="Акцент6 2" xfId="223"/>
    <cellStyle name="Акцент6 2 2" xfId="224"/>
    <cellStyle name="Акцент6 2 3" xfId="225"/>
    <cellStyle name="Акцент6 2 4" xfId="226"/>
    <cellStyle name="Акцент6 3" xfId="227"/>
    <cellStyle name="Ввод  2" xfId="228"/>
    <cellStyle name="Ввод  2 2" xfId="229"/>
    <cellStyle name="Ввод  2 3" xfId="230"/>
    <cellStyle name="Ввод  2 4" xfId="231"/>
    <cellStyle name="Ввод  3" xfId="232"/>
    <cellStyle name="Вывод 2" xfId="233"/>
    <cellStyle name="Вывод 2 2" xfId="234"/>
    <cellStyle name="Вывод 2 3" xfId="235"/>
    <cellStyle name="Вывод 2 4" xfId="236"/>
    <cellStyle name="Вывод 3" xfId="237"/>
    <cellStyle name="Вычисление 2" xfId="238"/>
    <cellStyle name="Вычисление 2 2" xfId="239"/>
    <cellStyle name="Вычисление 2 3" xfId="240"/>
    <cellStyle name="Вычисление 2 4" xfId="241"/>
    <cellStyle name="Вычисление 3" xfId="242"/>
    <cellStyle name="Гиперссылка" xfId="362" builtinId="8"/>
    <cellStyle name="Гиперссылка 2" xfId="243"/>
    <cellStyle name="Гиперссылка 3" xfId="383"/>
    <cellStyle name="Денежный 2" xfId="244"/>
    <cellStyle name="Денежный_прайс дилерский _14.06.11" xfId="5"/>
    <cellStyle name="Денежный_прайс дилерский _14.06.11 2" xfId="363"/>
    <cellStyle name="Заголовок 1 2" xfId="245"/>
    <cellStyle name="Заголовок 1 3" xfId="246"/>
    <cellStyle name="Заголовок 2 2" xfId="247"/>
    <cellStyle name="Заголовок 2 3" xfId="248"/>
    <cellStyle name="Заголовок 3 2" xfId="249"/>
    <cellStyle name="Заголовок 3 3" xfId="250"/>
    <cellStyle name="Заголовок 4 2" xfId="251"/>
    <cellStyle name="Заголовок 4 3" xfId="252"/>
    <cellStyle name="Заголовок сводной таблицы" xfId="390"/>
    <cellStyle name="Итог 2" xfId="253"/>
    <cellStyle name="Итог 3" xfId="254"/>
    <cellStyle name="Категория сводной таблицы" xfId="391"/>
    <cellStyle name="Контрольная ячейка 2" xfId="255"/>
    <cellStyle name="Контрольная ячейка 2 2" xfId="256"/>
    <cellStyle name="Контрольная ячейка 2 3" xfId="257"/>
    <cellStyle name="Контрольная ячейка 2 4" xfId="258"/>
    <cellStyle name="Контрольная ячейка 3" xfId="259"/>
    <cellStyle name="Название 2" xfId="260"/>
    <cellStyle name="Название 3" xfId="261"/>
    <cellStyle name="Нейтральный 2" xfId="262"/>
    <cellStyle name="Нейтральный 2 2" xfId="263"/>
    <cellStyle name="Нейтральный 2 3" xfId="264"/>
    <cellStyle name="Нейтральный 2 4" xfId="265"/>
    <cellStyle name="Нейтральный 3" xfId="266"/>
    <cellStyle name="Обычный" xfId="0" builtinId="0"/>
    <cellStyle name="Обычный 10" xfId="267"/>
    <cellStyle name="Обычный 10 2" xfId="268"/>
    <cellStyle name="Обычный 11" xfId="269"/>
    <cellStyle name="Обычный 11 2" xfId="270"/>
    <cellStyle name="Обычный 11 3" xfId="271"/>
    <cellStyle name="Обычный 12" xfId="272"/>
    <cellStyle name="Обычный 13" xfId="273"/>
    <cellStyle name="Обычный 14" xfId="274"/>
    <cellStyle name="Обычный 14 2" xfId="275"/>
    <cellStyle name="Обычный 15" xfId="276"/>
    <cellStyle name="Обычный 16" xfId="277"/>
    <cellStyle name="Обычный 17" xfId="278"/>
    <cellStyle name="Обычный 18" xfId="279"/>
    <cellStyle name="Обычный 19" xfId="280"/>
    <cellStyle name="Обычный 2" xfId="2"/>
    <cellStyle name="Обычный 2 2" xfId="281"/>
    <cellStyle name="Обычный 2 2 2" xfId="282"/>
    <cellStyle name="Обычный 2 3" xfId="283"/>
    <cellStyle name="Обычный 2 4" xfId="284"/>
    <cellStyle name="Обычный 2_Аквасток 1" xfId="285"/>
    <cellStyle name="Обычный 20" xfId="286"/>
    <cellStyle name="Обычный 21" xfId="287"/>
    <cellStyle name="Обычный 22" xfId="288"/>
    <cellStyle name="Обычный 23" xfId="289"/>
    <cellStyle name="Обычный 24" xfId="290"/>
    <cellStyle name="Обычный 26" xfId="291"/>
    <cellStyle name="Обычный 3" xfId="292"/>
    <cellStyle name="Обычный 3 2" xfId="293"/>
    <cellStyle name="Обычный 30" xfId="392"/>
    <cellStyle name="Обычный 4" xfId="294"/>
    <cellStyle name="Обычный 4 2" xfId="295"/>
    <cellStyle name="Обычный 4 3" xfId="296"/>
    <cellStyle name="Обычный 4 4" xfId="297"/>
    <cellStyle name="Обычный 4_~2131575" xfId="298"/>
    <cellStyle name="Обычный 5" xfId="299"/>
    <cellStyle name="Обычный 6" xfId="300"/>
    <cellStyle name="Обычный 6 2" xfId="301"/>
    <cellStyle name="Обычный 6 3" xfId="302"/>
    <cellStyle name="Обычный 6 4" xfId="303"/>
    <cellStyle name="Обычный 6 5" xfId="304"/>
    <cellStyle name="Обычный 7" xfId="305"/>
    <cellStyle name="Обычный 7 2" xfId="306"/>
    <cellStyle name="Обычный 8" xfId="307"/>
    <cellStyle name="Обычный 8 2" xfId="308"/>
    <cellStyle name="Обычный 9" xfId="309"/>
    <cellStyle name="Обычный 9 10" xfId="310"/>
    <cellStyle name="Обычный 9 2" xfId="311"/>
    <cellStyle name="Обычный 9 3" xfId="312"/>
    <cellStyle name="Обычный 9 4" xfId="313"/>
    <cellStyle name="Обычный 9 5" xfId="314"/>
    <cellStyle name="Обычный 9 6" xfId="315"/>
    <cellStyle name="Обычный 9 7" xfId="316"/>
    <cellStyle name="Обычный 9 8" xfId="317"/>
    <cellStyle name="Обычный 9 9" xfId="318"/>
    <cellStyle name="Обычный_~6227567" xfId="386"/>
    <cellStyle name="Обычный_Locinox_28_03_2013" xfId="378"/>
    <cellStyle name="Обычный_Vilpe1" xfId="370"/>
    <cellStyle name="Обычный_Vilpe1 2" xfId="394"/>
    <cellStyle name="Обычный_Керабит_мягкая кровля" xfId="384"/>
    <cellStyle name="Обычный_Лист1" xfId="364"/>
    <cellStyle name="Обычный_Лист1 2" xfId="371"/>
    <cellStyle name="Обычный_Лист1_1_1" xfId="382"/>
    <cellStyle name="Обычный_Лист1_Велюкс" xfId="381"/>
    <cellStyle name="Обычный_Лист1_Дилерский прайс-лист 02.04.13djhjnj" xfId="377"/>
    <cellStyle name="Обычный_Лист1_Дилерский прайс-лист 13.08.13" xfId="375"/>
    <cellStyle name="Обычный_Лист1_Дилерский прайс-лист Кварцит" xfId="367"/>
    <cellStyle name="Обычный_Лист1_Книга1" xfId="3"/>
    <cellStyle name="Обычный_Лист1_Книга2" xfId="374"/>
    <cellStyle name="Обычный_Лист1_откатные распашные без скидок" xfId="376"/>
    <cellStyle name="Обычный_Лист3" xfId="393"/>
    <cellStyle name="Обычный_металлист FAKRO" xfId="372"/>
    <cellStyle name="Обычный_металлочерепица PE" xfId="388"/>
    <cellStyle name="Обычный_мягкая кровля Ruflex" xfId="385"/>
    <cellStyle name="Обычный_прайс дилерский _14.06.11" xfId="1"/>
    <cellStyle name="Обычный_прайс дилерский _14.06.11 2" xfId="379"/>
    <cellStyle name="Обычный_прайс дилерский _14.06.11 3" xfId="368"/>
    <cellStyle name="Обычный_Прайс полный ассортимент 16.01.2010г" xfId="380"/>
    <cellStyle name="Обычный_Прайс полный ассортимент Центр от 09.07_Decra" xfId="365"/>
    <cellStyle name="Обычный_прайс розничный_ 10.11.10" xfId="389"/>
    <cellStyle name="Обычный_Прайс-лист_инструмент_оборудование" xfId="366"/>
    <cellStyle name="Обычный_Прайс-лист_инструмент_оборудование 2" xfId="369"/>
    <cellStyle name="Плохой 2" xfId="319"/>
    <cellStyle name="Плохой 2 2" xfId="320"/>
    <cellStyle name="Плохой 2 3" xfId="321"/>
    <cellStyle name="Плохой 2 4" xfId="322"/>
    <cellStyle name="Плохой 3" xfId="323"/>
    <cellStyle name="Пояснение 2" xfId="324"/>
    <cellStyle name="Пояснение 3" xfId="325"/>
    <cellStyle name="Примечание 2" xfId="326"/>
    <cellStyle name="Примечание 2 2" xfId="327"/>
    <cellStyle name="Примечание 2 3" xfId="328"/>
    <cellStyle name="Примечание 2 4" xfId="329"/>
    <cellStyle name="Примечание 3" xfId="330"/>
    <cellStyle name="Процентный 2" xfId="4"/>
    <cellStyle name="Процентный 2 2" xfId="331"/>
    <cellStyle name="Процентный 2 3" xfId="332"/>
    <cellStyle name="Процентный 2 4" xfId="333"/>
    <cellStyle name="Процентный 3" xfId="334"/>
    <cellStyle name="Процентный 3 2" xfId="335"/>
    <cellStyle name="Процентный 3 3" xfId="336"/>
    <cellStyle name="Процентный 3 4" xfId="337"/>
    <cellStyle name="Процентный 4" xfId="338"/>
    <cellStyle name="Процентный 4 2" xfId="339"/>
    <cellStyle name="Процентный 4 3" xfId="340"/>
    <cellStyle name="Процентный 5" xfId="341"/>
    <cellStyle name="Процентный 6" xfId="342"/>
    <cellStyle name="Связанная ячейка 2" xfId="343"/>
    <cellStyle name="Связанная ячейка 3" xfId="344"/>
    <cellStyle name="Стиль 1" xfId="345"/>
    <cellStyle name="Текст предупреждения 2" xfId="346"/>
    <cellStyle name="Текст предупреждения 3" xfId="347"/>
    <cellStyle name="Финансовый 2" xfId="348"/>
    <cellStyle name="Финансовый 2 2" xfId="349"/>
    <cellStyle name="Финансовый 2 3" xfId="350"/>
    <cellStyle name="Финансовый 2 4" xfId="351"/>
    <cellStyle name="Финансовый 3" xfId="352"/>
    <cellStyle name="Финансовый 3 2" xfId="353"/>
    <cellStyle name="Финансовый 3 3" xfId="354"/>
    <cellStyle name="Финансовый 4" xfId="355"/>
    <cellStyle name="Финансовый 4 2" xfId="356"/>
    <cellStyle name="Финансовый 4 3" xfId="373"/>
    <cellStyle name="Хороший 2" xfId="357"/>
    <cellStyle name="Хороший 2 2" xfId="358"/>
    <cellStyle name="Хороший 2 3" xfId="359"/>
    <cellStyle name="Хороший 2 4" xfId="360"/>
    <cellStyle name="Хороший 3" xfId="361"/>
  </cellStyles>
  <dxfs count="0"/>
  <tableStyles count="0" defaultTableStyle="TableStyleMedium9" defaultPivotStyle="PivotStyleLight16"/>
  <colors>
    <mruColors>
      <color rgb="FFC40000"/>
      <color rgb="FF0000FF"/>
      <color rgb="FFBF1F13"/>
      <color rgb="FF933A33"/>
      <color rgb="FF990000"/>
      <color rgb="FF797979"/>
      <color rgb="FFAC0000"/>
      <color rgb="FF960000"/>
      <color rgb="FF920000"/>
      <color rgb="FF0066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Label" lockText="1"/>
</file>

<file path=xl/ctrlProps/ctrlProp2.xml><?xml version="1.0" encoding="utf-8"?>
<formControlPr xmlns="http://schemas.microsoft.com/office/spreadsheetml/2009/9/main" objectType="Label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grandline.ru/shop/krovlya/neobkhodimye-komplektujushhie/brusok-i-osp/" TargetMode="External"/><Relationship Id="rId2" Type="http://schemas.openxmlformats.org/officeDocument/2006/relationships/image" Target="../media/image1.gif"/><Relationship Id="rId1" Type="http://schemas.openxmlformats.org/officeDocument/2006/relationships/hyperlink" Target="http://www.grandline.ru/calculator" TargetMode="External"/><Relationship Id="rId6" Type="http://schemas.openxmlformats.org/officeDocument/2006/relationships/image" Target="../media/image4.png"/><Relationship Id="rId5" Type="http://schemas.openxmlformats.org/officeDocument/2006/relationships/image" Target="../media/image3.png"/><Relationship Id="rId4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" Type="http://schemas.openxmlformats.org/officeDocument/2006/relationships/image" Target="../media/image8.png"/><Relationship Id="rId21" Type="http://schemas.openxmlformats.org/officeDocument/2006/relationships/image" Target="../media/image26.png"/><Relationship Id="rId7" Type="http://schemas.openxmlformats.org/officeDocument/2006/relationships/image" Target="../media/image12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" Type="http://schemas.openxmlformats.org/officeDocument/2006/relationships/image" Target="../media/image7.jpeg"/><Relationship Id="rId16" Type="http://schemas.openxmlformats.org/officeDocument/2006/relationships/image" Target="../media/image21.png"/><Relationship Id="rId20" Type="http://schemas.openxmlformats.org/officeDocument/2006/relationships/image" Target="../media/image2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1" Type="http://schemas.openxmlformats.org/officeDocument/2006/relationships/image" Target="../media/image16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13" Type="http://schemas.openxmlformats.org/officeDocument/2006/relationships/image" Target="../media/image39.png"/><Relationship Id="rId18" Type="http://schemas.openxmlformats.org/officeDocument/2006/relationships/image" Target="../media/image44.png"/><Relationship Id="rId3" Type="http://schemas.openxmlformats.org/officeDocument/2006/relationships/image" Target="../media/image29.png"/><Relationship Id="rId21" Type="http://schemas.openxmlformats.org/officeDocument/2006/relationships/image" Target="../media/image47.png"/><Relationship Id="rId7" Type="http://schemas.openxmlformats.org/officeDocument/2006/relationships/image" Target="../media/image33.png"/><Relationship Id="rId12" Type="http://schemas.openxmlformats.org/officeDocument/2006/relationships/image" Target="../media/image38.png"/><Relationship Id="rId17" Type="http://schemas.openxmlformats.org/officeDocument/2006/relationships/image" Target="../media/image43.png"/><Relationship Id="rId2" Type="http://schemas.openxmlformats.org/officeDocument/2006/relationships/image" Target="../media/image28.png"/><Relationship Id="rId16" Type="http://schemas.openxmlformats.org/officeDocument/2006/relationships/image" Target="../media/image42.png"/><Relationship Id="rId20" Type="http://schemas.openxmlformats.org/officeDocument/2006/relationships/image" Target="../media/image46.png"/><Relationship Id="rId1" Type="http://schemas.openxmlformats.org/officeDocument/2006/relationships/image" Target="../media/image6.png"/><Relationship Id="rId6" Type="http://schemas.openxmlformats.org/officeDocument/2006/relationships/image" Target="../media/image32.png"/><Relationship Id="rId11" Type="http://schemas.openxmlformats.org/officeDocument/2006/relationships/image" Target="../media/image37.png"/><Relationship Id="rId5" Type="http://schemas.openxmlformats.org/officeDocument/2006/relationships/image" Target="../media/image31.png"/><Relationship Id="rId15" Type="http://schemas.openxmlformats.org/officeDocument/2006/relationships/image" Target="../media/image41.png"/><Relationship Id="rId10" Type="http://schemas.openxmlformats.org/officeDocument/2006/relationships/image" Target="../media/image36.png"/><Relationship Id="rId19" Type="http://schemas.openxmlformats.org/officeDocument/2006/relationships/image" Target="../media/image45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Relationship Id="rId22" Type="http://schemas.openxmlformats.org/officeDocument/2006/relationships/image" Target="../media/image2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.jpeg"/><Relationship Id="rId13" Type="http://schemas.openxmlformats.org/officeDocument/2006/relationships/image" Target="../media/image59.jpeg"/><Relationship Id="rId18" Type="http://schemas.openxmlformats.org/officeDocument/2006/relationships/image" Target="../media/image64.jpeg"/><Relationship Id="rId26" Type="http://schemas.openxmlformats.org/officeDocument/2006/relationships/image" Target="../media/image72.jpeg"/><Relationship Id="rId3" Type="http://schemas.openxmlformats.org/officeDocument/2006/relationships/image" Target="../media/image50.jpeg"/><Relationship Id="rId21" Type="http://schemas.openxmlformats.org/officeDocument/2006/relationships/image" Target="../media/image67.jpeg"/><Relationship Id="rId34" Type="http://schemas.openxmlformats.org/officeDocument/2006/relationships/image" Target="../media/image80.jpeg"/><Relationship Id="rId7" Type="http://schemas.openxmlformats.org/officeDocument/2006/relationships/image" Target="../media/image54.jpeg"/><Relationship Id="rId12" Type="http://schemas.openxmlformats.org/officeDocument/2006/relationships/image" Target="../media/image58.jpeg"/><Relationship Id="rId17" Type="http://schemas.openxmlformats.org/officeDocument/2006/relationships/image" Target="../media/image63.jpeg"/><Relationship Id="rId25" Type="http://schemas.openxmlformats.org/officeDocument/2006/relationships/image" Target="../media/image71.png"/><Relationship Id="rId33" Type="http://schemas.openxmlformats.org/officeDocument/2006/relationships/image" Target="../media/image79.jpeg"/><Relationship Id="rId2" Type="http://schemas.openxmlformats.org/officeDocument/2006/relationships/image" Target="../media/image49.jpeg"/><Relationship Id="rId16" Type="http://schemas.openxmlformats.org/officeDocument/2006/relationships/image" Target="../media/image62.jpeg"/><Relationship Id="rId20" Type="http://schemas.openxmlformats.org/officeDocument/2006/relationships/image" Target="../media/image66.jpeg"/><Relationship Id="rId29" Type="http://schemas.openxmlformats.org/officeDocument/2006/relationships/image" Target="../media/image75.jpeg"/><Relationship Id="rId1" Type="http://schemas.openxmlformats.org/officeDocument/2006/relationships/image" Target="../media/image48.jpeg"/><Relationship Id="rId6" Type="http://schemas.openxmlformats.org/officeDocument/2006/relationships/image" Target="../media/image53.jpeg"/><Relationship Id="rId11" Type="http://schemas.openxmlformats.org/officeDocument/2006/relationships/image" Target="../media/image57.png"/><Relationship Id="rId24" Type="http://schemas.openxmlformats.org/officeDocument/2006/relationships/image" Target="../media/image70.jpeg"/><Relationship Id="rId32" Type="http://schemas.openxmlformats.org/officeDocument/2006/relationships/image" Target="../media/image78.jpeg"/><Relationship Id="rId5" Type="http://schemas.openxmlformats.org/officeDocument/2006/relationships/image" Target="../media/image52.jpeg"/><Relationship Id="rId15" Type="http://schemas.openxmlformats.org/officeDocument/2006/relationships/image" Target="../media/image61.jpeg"/><Relationship Id="rId23" Type="http://schemas.openxmlformats.org/officeDocument/2006/relationships/image" Target="../media/image69.jpeg"/><Relationship Id="rId28" Type="http://schemas.openxmlformats.org/officeDocument/2006/relationships/image" Target="../media/image74.jpeg"/><Relationship Id="rId10" Type="http://schemas.openxmlformats.org/officeDocument/2006/relationships/image" Target="../media/image56.png"/><Relationship Id="rId19" Type="http://schemas.openxmlformats.org/officeDocument/2006/relationships/image" Target="../media/image65.jpeg"/><Relationship Id="rId31" Type="http://schemas.openxmlformats.org/officeDocument/2006/relationships/image" Target="../media/image77.jpeg"/><Relationship Id="rId4" Type="http://schemas.openxmlformats.org/officeDocument/2006/relationships/image" Target="../media/image51.jpeg"/><Relationship Id="rId9" Type="http://schemas.openxmlformats.org/officeDocument/2006/relationships/image" Target="../media/image6.png"/><Relationship Id="rId14" Type="http://schemas.openxmlformats.org/officeDocument/2006/relationships/image" Target="../media/image60.jpeg"/><Relationship Id="rId22" Type="http://schemas.openxmlformats.org/officeDocument/2006/relationships/image" Target="../media/image68.jpeg"/><Relationship Id="rId27" Type="http://schemas.openxmlformats.org/officeDocument/2006/relationships/image" Target="../media/image73.jpeg"/><Relationship Id="rId30" Type="http://schemas.openxmlformats.org/officeDocument/2006/relationships/image" Target="../media/image76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png"/><Relationship Id="rId3" Type="http://schemas.openxmlformats.org/officeDocument/2006/relationships/image" Target="../media/image83.emf"/><Relationship Id="rId7" Type="http://schemas.openxmlformats.org/officeDocument/2006/relationships/image" Target="../media/image87.jpeg"/><Relationship Id="rId2" Type="http://schemas.openxmlformats.org/officeDocument/2006/relationships/image" Target="../media/image82.png"/><Relationship Id="rId1" Type="http://schemas.openxmlformats.org/officeDocument/2006/relationships/image" Target="../media/image81.png"/><Relationship Id="rId6" Type="http://schemas.openxmlformats.org/officeDocument/2006/relationships/image" Target="../media/image86.jpeg"/><Relationship Id="rId5" Type="http://schemas.openxmlformats.org/officeDocument/2006/relationships/image" Target="../media/image85.jpeg"/><Relationship Id="rId10" Type="http://schemas.openxmlformats.org/officeDocument/2006/relationships/image" Target="../media/image90.png"/><Relationship Id="rId4" Type="http://schemas.openxmlformats.org/officeDocument/2006/relationships/image" Target="../media/image84.jpeg"/><Relationship Id="rId9" Type="http://schemas.openxmlformats.org/officeDocument/2006/relationships/image" Target="../media/image89.jpe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1.jpeg"/><Relationship Id="rId1" Type="http://schemas.openxmlformats.org/officeDocument/2006/relationships/image" Target="../media/image6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92.png"/><Relationship Id="rId5" Type="http://schemas.openxmlformats.org/officeDocument/2006/relationships/image" Target="../media/image96.png"/><Relationship Id="rId4" Type="http://schemas.openxmlformats.org/officeDocument/2006/relationships/image" Target="../media/image95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9.png"/><Relationship Id="rId18" Type="http://schemas.openxmlformats.org/officeDocument/2006/relationships/image" Target="../media/image114.jpeg"/><Relationship Id="rId26" Type="http://schemas.openxmlformats.org/officeDocument/2006/relationships/image" Target="../media/image122.jpeg"/><Relationship Id="rId39" Type="http://schemas.openxmlformats.org/officeDocument/2006/relationships/image" Target="../media/image135.jpeg"/><Relationship Id="rId21" Type="http://schemas.openxmlformats.org/officeDocument/2006/relationships/image" Target="../media/image117.png"/><Relationship Id="rId34" Type="http://schemas.openxmlformats.org/officeDocument/2006/relationships/image" Target="../media/image130.jpeg"/><Relationship Id="rId42" Type="http://schemas.openxmlformats.org/officeDocument/2006/relationships/image" Target="../media/image138.png"/><Relationship Id="rId47" Type="http://schemas.openxmlformats.org/officeDocument/2006/relationships/image" Target="../media/image143.jpeg"/><Relationship Id="rId50" Type="http://schemas.openxmlformats.org/officeDocument/2006/relationships/image" Target="../media/image146.jpeg"/><Relationship Id="rId55" Type="http://schemas.openxmlformats.org/officeDocument/2006/relationships/image" Target="../media/image151.jpeg"/><Relationship Id="rId63" Type="http://schemas.openxmlformats.org/officeDocument/2006/relationships/image" Target="../media/image159.png"/><Relationship Id="rId68" Type="http://schemas.openxmlformats.org/officeDocument/2006/relationships/image" Target="../media/image164.png"/><Relationship Id="rId7" Type="http://schemas.openxmlformats.org/officeDocument/2006/relationships/image" Target="../media/image103.png"/><Relationship Id="rId71" Type="http://schemas.openxmlformats.org/officeDocument/2006/relationships/image" Target="../media/image167.png"/><Relationship Id="rId2" Type="http://schemas.openxmlformats.org/officeDocument/2006/relationships/image" Target="../media/image98.jpeg"/><Relationship Id="rId16" Type="http://schemas.openxmlformats.org/officeDocument/2006/relationships/image" Target="../media/image112.jpeg"/><Relationship Id="rId29" Type="http://schemas.openxmlformats.org/officeDocument/2006/relationships/image" Target="../media/image125.png"/><Relationship Id="rId11" Type="http://schemas.openxmlformats.org/officeDocument/2006/relationships/image" Target="../media/image107.png"/><Relationship Id="rId24" Type="http://schemas.openxmlformats.org/officeDocument/2006/relationships/image" Target="../media/image120.jpeg"/><Relationship Id="rId32" Type="http://schemas.openxmlformats.org/officeDocument/2006/relationships/image" Target="../media/image128.jpeg"/><Relationship Id="rId37" Type="http://schemas.openxmlformats.org/officeDocument/2006/relationships/image" Target="../media/image133.jpeg"/><Relationship Id="rId40" Type="http://schemas.openxmlformats.org/officeDocument/2006/relationships/image" Target="../media/image136.jpeg"/><Relationship Id="rId45" Type="http://schemas.openxmlformats.org/officeDocument/2006/relationships/image" Target="../media/image141.png"/><Relationship Id="rId53" Type="http://schemas.openxmlformats.org/officeDocument/2006/relationships/image" Target="../media/image149.jpeg"/><Relationship Id="rId58" Type="http://schemas.openxmlformats.org/officeDocument/2006/relationships/image" Target="../media/image154.png"/><Relationship Id="rId66" Type="http://schemas.openxmlformats.org/officeDocument/2006/relationships/image" Target="../media/image162.png"/><Relationship Id="rId5" Type="http://schemas.openxmlformats.org/officeDocument/2006/relationships/image" Target="../media/image101.png"/><Relationship Id="rId15" Type="http://schemas.openxmlformats.org/officeDocument/2006/relationships/image" Target="../media/image111.jpeg"/><Relationship Id="rId23" Type="http://schemas.openxmlformats.org/officeDocument/2006/relationships/image" Target="../media/image119.jpeg"/><Relationship Id="rId28" Type="http://schemas.openxmlformats.org/officeDocument/2006/relationships/image" Target="../media/image124.png"/><Relationship Id="rId36" Type="http://schemas.openxmlformats.org/officeDocument/2006/relationships/image" Target="../media/image132.jpeg"/><Relationship Id="rId49" Type="http://schemas.openxmlformats.org/officeDocument/2006/relationships/image" Target="../media/image145.jpeg"/><Relationship Id="rId57" Type="http://schemas.openxmlformats.org/officeDocument/2006/relationships/image" Target="../media/image153.png"/><Relationship Id="rId61" Type="http://schemas.openxmlformats.org/officeDocument/2006/relationships/image" Target="../media/image157.jpeg"/><Relationship Id="rId10" Type="http://schemas.openxmlformats.org/officeDocument/2006/relationships/image" Target="../media/image106.png"/><Relationship Id="rId19" Type="http://schemas.openxmlformats.org/officeDocument/2006/relationships/image" Target="../media/image115.jpeg"/><Relationship Id="rId31" Type="http://schemas.openxmlformats.org/officeDocument/2006/relationships/image" Target="../media/image127.png"/><Relationship Id="rId44" Type="http://schemas.openxmlformats.org/officeDocument/2006/relationships/image" Target="../media/image140.png"/><Relationship Id="rId52" Type="http://schemas.openxmlformats.org/officeDocument/2006/relationships/image" Target="../media/image148.jpeg"/><Relationship Id="rId60" Type="http://schemas.openxmlformats.org/officeDocument/2006/relationships/image" Target="../media/image156.png"/><Relationship Id="rId65" Type="http://schemas.openxmlformats.org/officeDocument/2006/relationships/image" Target="../media/image161.png"/><Relationship Id="rId73" Type="http://schemas.openxmlformats.org/officeDocument/2006/relationships/image" Target="../media/image169.jpeg"/><Relationship Id="rId4" Type="http://schemas.openxmlformats.org/officeDocument/2006/relationships/image" Target="../media/image100.png"/><Relationship Id="rId9" Type="http://schemas.openxmlformats.org/officeDocument/2006/relationships/image" Target="../media/image105.png"/><Relationship Id="rId14" Type="http://schemas.openxmlformats.org/officeDocument/2006/relationships/image" Target="../media/image110.jpeg"/><Relationship Id="rId22" Type="http://schemas.openxmlformats.org/officeDocument/2006/relationships/image" Target="../media/image118.jpeg"/><Relationship Id="rId27" Type="http://schemas.openxmlformats.org/officeDocument/2006/relationships/image" Target="../media/image123.jpeg"/><Relationship Id="rId30" Type="http://schemas.openxmlformats.org/officeDocument/2006/relationships/image" Target="../media/image126.png"/><Relationship Id="rId35" Type="http://schemas.openxmlformats.org/officeDocument/2006/relationships/image" Target="../media/image131.jpeg"/><Relationship Id="rId43" Type="http://schemas.openxmlformats.org/officeDocument/2006/relationships/image" Target="../media/image139.jpeg"/><Relationship Id="rId48" Type="http://schemas.openxmlformats.org/officeDocument/2006/relationships/image" Target="../media/image144.jpeg"/><Relationship Id="rId56" Type="http://schemas.openxmlformats.org/officeDocument/2006/relationships/image" Target="../media/image152.png"/><Relationship Id="rId64" Type="http://schemas.openxmlformats.org/officeDocument/2006/relationships/image" Target="../media/image160.png"/><Relationship Id="rId69" Type="http://schemas.openxmlformats.org/officeDocument/2006/relationships/image" Target="../media/image165.png"/><Relationship Id="rId8" Type="http://schemas.openxmlformats.org/officeDocument/2006/relationships/image" Target="../media/image104.png"/><Relationship Id="rId51" Type="http://schemas.openxmlformats.org/officeDocument/2006/relationships/image" Target="../media/image147.jpeg"/><Relationship Id="rId72" Type="http://schemas.openxmlformats.org/officeDocument/2006/relationships/image" Target="../media/image168.jpeg"/><Relationship Id="rId3" Type="http://schemas.openxmlformats.org/officeDocument/2006/relationships/image" Target="../media/image99.png"/><Relationship Id="rId12" Type="http://schemas.openxmlformats.org/officeDocument/2006/relationships/image" Target="../media/image108.png"/><Relationship Id="rId17" Type="http://schemas.openxmlformats.org/officeDocument/2006/relationships/image" Target="../media/image113.jpeg"/><Relationship Id="rId25" Type="http://schemas.openxmlformats.org/officeDocument/2006/relationships/image" Target="../media/image121.jpeg"/><Relationship Id="rId33" Type="http://schemas.openxmlformats.org/officeDocument/2006/relationships/image" Target="../media/image129.jpeg"/><Relationship Id="rId38" Type="http://schemas.openxmlformats.org/officeDocument/2006/relationships/image" Target="../media/image134.jpeg"/><Relationship Id="rId46" Type="http://schemas.openxmlformats.org/officeDocument/2006/relationships/image" Target="../media/image142.jpeg"/><Relationship Id="rId59" Type="http://schemas.openxmlformats.org/officeDocument/2006/relationships/image" Target="../media/image155.png"/><Relationship Id="rId67" Type="http://schemas.openxmlformats.org/officeDocument/2006/relationships/image" Target="../media/image163.png"/><Relationship Id="rId20" Type="http://schemas.openxmlformats.org/officeDocument/2006/relationships/image" Target="../media/image116.jpeg"/><Relationship Id="rId41" Type="http://schemas.openxmlformats.org/officeDocument/2006/relationships/image" Target="../media/image137.jpeg"/><Relationship Id="rId54" Type="http://schemas.openxmlformats.org/officeDocument/2006/relationships/image" Target="../media/image150.jpeg"/><Relationship Id="rId62" Type="http://schemas.openxmlformats.org/officeDocument/2006/relationships/image" Target="../media/image158.jpeg"/><Relationship Id="rId70" Type="http://schemas.openxmlformats.org/officeDocument/2006/relationships/image" Target="../media/image166.png"/><Relationship Id="rId1" Type="http://schemas.openxmlformats.org/officeDocument/2006/relationships/image" Target="../media/image97.jpeg"/><Relationship Id="rId6" Type="http://schemas.openxmlformats.org/officeDocument/2006/relationships/image" Target="../media/image10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2.png"/><Relationship Id="rId2" Type="http://schemas.openxmlformats.org/officeDocument/2006/relationships/image" Target="../media/image171.png"/><Relationship Id="rId1" Type="http://schemas.openxmlformats.org/officeDocument/2006/relationships/image" Target="../media/image170.jpeg"/><Relationship Id="rId6" Type="http://schemas.openxmlformats.org/officeDocument/2006/relationships/image" Target="../media/image6.png"/><Relationship Id="rId5" Type="http://schemas.openxmlformats.org/officeDocument/2006/relationships/image" Target="../media/image174.png"/><Relationship Id="rId4" Type="http://schemas.openxmlformats.org/officeDocument/2006/relationships/image" Target="../media/image173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5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5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8.jpeg"/><Relationship Id="rId2" Type="http://schemas.openxmlformats.org/officeDocument/2006/relationships/image" Target="../media/image177.jpeg"/><Relationship Id="rId1" Type="http://schemas.openxmlformats.org/officeDocument/2006/relationships/image" Target="../media/image176.jpeg"/><Relationship Id="rId6" Type="http://schemas.openxmlformats.org/officeDocument/2006/relationships/image" Target="../media/image6.png"/><Relationship Id="rId5" Type="http://schemas.openxmlformats.org/officeDocument/2006/relationships/image" Target="../media/image180.jpeg"/><Relationship Id="rId4" Type="http://schemas.openxmlformats.org/officeDocument/2006/relationships/image" Target="../media/image179.jpe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9.jpeg"/><Relationship Id="rId13" Type="http://schemas.openxmlformats.org/officeDocument/2006/relationships/image" Target="../media/image194.png"/><Relationship Id="rId18" Type="http://schemas.openxmlformats.org/officeDocument/2006/relationships/image" Target="../media/image6.png"/><Relationship Id="rId3" Type="http://schemas.openxmlformats.org/officeDocument/2006/relationships/image" Target="../media/image184.jpeg"/><Relationship Id="rId7" Type="http://schemas.openxmlformats.org/officeDocument/2006/relationships/image" Target="../media/image188.jpeg"/><Relationship Id="rId12" Type="http://schemas.openxmlformats.org/officeDocument/2006/relationships/image" Target="../media/image193.jpeg"/><Relationship Id="rId17" Type="http://schemas.openxmlformats.org/officeDocument/2006/relationships/image" Target="../media/image198.jpeg"/><Relationship Id="rId2" Type="http://schemas.openxmlformats.org/officeDocument/2006/relationships/image" Target="../media/image183.jpeg"/><Relationship Id="rId16" Type="http://schemas.openxmlformats.org/officeDocument/2006/relationships/image" Target="../media/image197.png"/><Relationship Id="rId20" Type="http://schemas.openxmlformats.org/officeDocument/2006/relationships/image" Target="../media/image200.png"/><Relationship Id="rId1" Type="http://schemas.openxmlformats.org/officeDocument/2006/relationships/image" Target="../media/image182.jpeg"/><Relationship Id="rId6" Type="http://schemas.openxmlformats.org/officeDocument/2006/relationships/image" Target="../media/image187.jpeg"/><Relationship Id="rId11" Type="http://schemas.openxmlformats.org/officeDocument/2006/relationships/image" Target="../media/image192.jpeg"/><Relationship Id="rId5" Type="http://schemas.openxmlformats.org/officeDocument/2006/relationships/image" Target="../media/image186.jpeg"/><Relationship Id="rId15" Type="http://schemas.openxmlformats.org/officeDocument/2006/relationships/image" Target="../media/image196.jpeg"/><Relationship Id="rId10" Type="http://schemas.openxmlformats.org/officeDocument/2006/relationships/image" Target="../media/image191.png"/><Relationship Id="rId19" Type="http://schemas.openxmlformats.org/officeDocument/2006/relationships/image" Target="../media/image199.png"/><Relationship Id="rId4" Type="http://schemas.openxmlformats.org/officeDocument/2006/relationships/image" Target="../media/image185.jpeg"/><Relationship Id="rId9" Type="http://schemas.openxmlformats.org/officeDocument/2006/relationships/image" Target="../media/image190.jpeg"/><Relationship Id="rId14" Type="http://schemas.openxmlformats.org/officeDocument/2006/relationships/image" Target="../media/image195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png"/><Relationship Id="rId13" Type="http://schemas.openxmlformats.org/officeDocument/2006/relationships/image" Target="../media/image212.png"/><Relationship Id="rId3" Type="http://schemas.openxmlformats.org/officeDocument/2006/relationships/image" Target="../media/image203.png"/><Relationship Id="rId7" Type="http://schemas.openxmlformats.org/officeDocument/2006/relationships/image" Target="../media/image207.jpeg"/><Relationship Id="rId12" Type="http://schemas.openxmlformats.org/officeDocument/2006/relationships/image" Target="../media/image211.jpeg"/><Relationship Id="rId17" Type="http://schemas.openxmlformats.org/officeDocument/2006/relationships/image" Target="../media/image216.jpeg"/><Relationship Id="rId2" Type="http://schemas.openxmlformats.org/officeDocument/2006/relationships/image" Target="../media/image202.png"/><Relationship Id="rId16" Type="http://schemas.openxmlformats.org/officeDocument/2006/relationships/image" Target="../media/image215.jpeg"/><Relationship Id="rId1" Type="http://schemas.openxmlformats.org/officeDocument/2006/relationships/image" Target="../media/image201.png"/><Relationship Id="rId6" Type="http://schemas.openxmlformats.org/officeDocument/2006/relationships/image" Target="../media/image206.emf"/><Relationship Id="rId11" Type="http://schemas.openxmlformats.org/officeDocument/2006/relationships/image" Target="../media/image210.emf"/><Relationship Id="rId5" Type="http://schemas.openxmlformats.org/officeDocument/2006/relationships/image" Target="../media/image205.jpeg"/><Relationship Id="rId15" Type="http://schemas.openxmlformats.org/officeDocument/2006/relationships/image" Target="../media/image214.jpeg"/><Relationship Id="rId10" Type="http://schemas.openxmlformats.org/officeDocument/2006/relationships/image" Target="../media/image209.png"/><Relationship Id="rId4" Type="http://schemas.openxmlformats.org/officeDocument/2006/relationships/image" Target="../media/image204.jpeg"/><Relationship Id="rId9" Type="http://schemas.openxmlformats.org/officeDocument/2006/relationships/image" Target="../media/image208.png"/><Relationship Id="rId14" Type="http://schemas.openxmlformats.org/officeDocument/2006/relationships/image" Target="../media/image213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4.png"/><Relationship Id="rId13" Type="http://schemas.openxmlformats.org/officeDocument/2006/relationships/image" Target="../media/image229.png"/><Relationship Id="rId18" Type="http://schemas.openxmlformats.org/officeDocument/2006/relationships/image" Target="../media/image234.jpeg"/><Relationship Id="rId26" Type="http://schemas.openxmlformats.org/officeDocument/2006/relationships/image" Target="../media/image242.png"/><Relationship Id="rId3" Type="http://schemas.openxmlformats.org/officeDocument/2006/relationships/image" Target="../media/image219.png"/><Relationship Id="rId21" Type="http://schemas.openxmlformats.org/officeDocument/2006/relationships/image" Target="../media/image237.png"/><Relationship Id="rId7" Type="http://schemas.openxmlformats.org/officeDocument/2006/relationships/image" Target="../media/image223.png"/><Relationship Id="rId12" Type="http://schemas.openxmlformats.org/officeDocument/2006/relationships/image" Target="../media/image228.png"/><Relationship Id="rId17" Type="http://schemas.openxmlformats.org/officeDocument/2006/relationships/image" Target="../media/image233.png"/><Relationship Id="rId25" Type="http://schemas.openxmlformats.org/officeDocument/2006/relationships/image" Target="../media/image241.jpeg"/><Relationship Id="rId2" Type="http://schemas.openxmlformats.org/officeDocument/2006/relationships/image" Target="../media/image218.png"/><Relationship Id="rId16" Type="http://schemas.openxmlformats.org/officeDocument/2006/relationships/image" Target="../media/image232.png"/><Relationship Id="rId20" Type="http://schemas.openxmlformats.org/officeDocument/2006/relationships/image" Target="../media/image236.png"/><Relationship Id="rId29" Type="http://schemas.openxmlformats.org/officeDocument/2006/relationships/image" Target="../media/image244.png"/><Relationship Id="rId1" Type="http://schemas.openxmlformats.org/officeDocument/2006/relationships/image" Target="../media/image217.png"/><Relationship Id="rId6" Type="http://schemas.openxmlformats.org/officeDocument/2006/relationships/image" Target="../media/image222.png"/><Relationship Id="rId11" Type="http://schemas.openxmlformats.org/officeDocument/2006/relationships/image" Target="../media/image227.png"/><Relationship Id="rId24" Type="http://schemas.openxmlformats.org/officeDocument/2006/relationships/image" Target="../media/image240.png"/><Relationship Id="rId5" Type="http://schemas.openxmlformats.org/officeDocument/2006/relationships/image" Target="../media/image221.emf"/><Relationship Id="rId15" Type="http://schemas.openxmlformats.org/officeDocument/2006/relationships/image" Target="../media/image231.png"/><Relationship Id="rId23" Type="http://schemas.openxmlformats.org/officeDocument/2006/relationships/image" Target="../media/image239.png"/><Relationship Id="rId28" Type="http://schemas.openxmlformats.org/officeDocument/2006/relationships/image" Target="../media/image6.png"/><Relationship Id="rId10" Type="http://schemas.openxmlformats.org/officeDocument/2006/relationships/image" Target="../media/image226.png"/><Relationship Id="rId19" Type="http://schemas.openxmlformats.org/officeDocument/2006/relationships/image" Target="../media/image235.jpeg"/><Relationship Id="rId4" Type="http://schemas.openxmlformats.org/officeDocument/2006/relationships/image" Target="../media/image220.png"/><Relationship Id="rId9" Type="http://schemas.openxmlformats.org/officeDocument/2006/relationships/image" Target="../media/image225.jpeg"/><Relationship Id="rId14" Type="http://schemas.openxmlformats.org/officeDocument/2006/relationships/image" Target="../media/image230.png"/><Relationship Id="rId22" Type="http://schemas.openxmlformats.org/officeDocument/2006/relationships/image" Target="../media/image238.jpeg"/><Relationship Id="rId27" Type="http://schemas.openxmlformats.org/officeDocument/2006/relationships/image" Target="../media/image243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jpeg"/><Relationship Id="rId13" Type="http://schemas.openxmlformats.org/officeDocument/2006/relationships/image" Target="../media/image257.jpeg"/><Relationship Id="rId18" Type="http://schemas.openxmlformats.org/officeDocument/2006/relationships/image" Target="../media/image237.png"/><Relationship Id="rId3" Type="http://schemas.openxmlformats.org/officeDocument/2006/relationships/image" Target="../media/image247.jpeg"/><Relationship Id="rId7" Type="http://schemas.openxmlformats.org/officeDocument/2006/relationships/image" Target="../media/image251.jpeg"/><Relationship Id="rId12" Type="http://schemas.openxmlformats.org/officeDocument/2006/relationships/image" Target="../media/image256.jpeg"/><Relationship Id="rId17" Type="http://schemas.openxmlformats.org/officeDocument/2006/relationships/image" Target="../media/image236.png"/><Relationship Id="rId2" Type="http://schemas.openxmlformats.org/officeDocument/2006/relationships/image" Target="../media/image246.jpeg"/><Relationship Id="rId16" Type="http://schemas.openxmlformats.org/officeDocument/2006/relationships/image" Target="../media/image243.jpeg"/><Relationship Id="rId20" Type="http://schemas.openxmlformats.org/officeDocument/2006/relationships/image" Target="../media/image244.png"/><Relationship Id="rId1" Type="http://schemas.openxmlformats.org/officeDocument/2006/relationships/image" Target="../media/image245.jpeg"/><Relationship Id="rId6" Type="http://schemas.openxmlformats.org/officeDocument/2006/relationships/image" Target="../media/image250.jpeg"/><Relationship Id="rId11" Type="http://schemas.openxmlformats.org/officeDocument/2006/relationships/image" Target="../media/image255.jpeg"/><Relationship Id="rId5" Type="http://schemas.openxmlformats.org/officeDocument/2006/relationships/image" Target="../media/image249.jpeg"/><Relationship Id="rId15" Type="http://schemas.openxmlformats.org/officeDocument/2006/relationships/image" Target="../media/image259.png"/><Relationship Id="rId10" Type="http://schemas.openxmlformats.org/officeDocument/2006/relationships/image" Target="../media/image254.jpeg"/><Relationship Id="rId19" Type="http://schemas.openxmlformats.org/officeDocument/2006/relationships/image" Target="../media/image6.png"/><Relationship Id="rId4" Type="http://schemas.openxmlformats.org/officeDocument/2006/relationships/image" Target="../media/image248.jpeg"/><Relationship Id="rId9" Type="http://schemas.openxmlformats.org/officeDocument/2006/relationships/image" Target="../media/image253.jpeg"/><Relationship Id="rId14" Type="http://schemas.openxmlformats.org/officeDocument/2006/relationships/image" Target="../media/image258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7.jpeg"/><Relationship Id="rId13" Type="http://schemas.openxmlformats.org/officeDocument/2006/relationships/image" Target="../media/image272.jpeg"/><Relationship Id="rId18" Type="http://schemas.openxmlformats.org/officeDocument/2006/relationships/image" Target="../media/image277.jpeg"/><Relationship Id="rId3" Type="http://schemas.openxmlformats.org/officeDocument/2006/relationships/image" Target="../media/image262.jpeg"/><Relationship Id="rId21" Type="http://schemas.openxmlformats.org/officeDocument/2006/relationships/image" Target="../media/image280.png"/><Relationship Id="rId7" Type="http://schemas.openxmlformats.org/officeDocument/2006/relationships/image" Target="../media/image266.jpeg"/><Relationship Id="rId12" Type="http://schemas.openxmlformats.org/officeDocument/2006/relationships/image" Target="../media/image271.jpeg"/><Relationship Id="rId17" Type="http://schemas.openxmlformats.org/officeDocument/2006/relationships/image" Target="../media/image276.jpeg"/><Relationship Id="rId2" Type="http://schemas.openxmlformats.org/officeDocument/2006/relationships/image" Target="../media/image261.jpeg"/><Relationship Id="rId16" Type="http://schemas.openxmlformats.org/officeDocument/2006/relationships/image" Target="../media/image275.jpeg"/><Relationship Id="rId20" Type="http://schemas.openxmlformats.org/officeDocument/2006/relationships/image" Target="../media/image279.png"/><Relationship Id="rId1" Type="http://schemas.openxmlformats.org/officeDocument/2006/relationships/image" Target="../media/image260.jpeg"/><Relationship Id="rId6" Type="http://schemas.openxmlformats.org/officeDocument/2006/relationships/image" Target="../media/image265.jpeg"/><Relationship Id="rId11" Type="http://schemas.openxmlformats.org/officeDocument/2006/relationships/image" Target="../media/image270.jpeg"/><Relationship Id="rId24" Type="http://schemas.openxmlformats.org/officeDocument/2006/relationships/image" Target="../media/image282.jpeg"/><Relationship Id="rId5" Type="http://schemas.openxmlformats.org/officeDocument/2006/relationships/image" Target="../media/image264.jpeg"/><Relationship Id="rId15" Type="http://schemas.openxmlformats.org/officeDocument/2006/relationships/image" Target="../media/image274.jpeg"/><Relationship Id="rId23" Type="http://schemas.openxmlformats.org/officeDocument/2006/relationships/image" Target="../media/image6.png"/><Relationship Id="rId10" Type="http://schemas.openxmlformats.org/officeDocument/2006/relationships/image" Target="../media/image269.jpeg"/><Relationship Id="rId19" Type="http://schemas.openxmlformats.org/officeDocument/2006/relationships/image" Target="../media/image278.jpeg"/><Relationship Id="rId4" Type="http://schemas.openxmlformats.org/officeDocument/2006/relationships/image" Target="../media/image263.jpeg"/><Relationship Id="rId9" Type="http://schemas.openxmlformats.org/officeDocument/2006/relationships/image" Target="../media/image268.jpeg"/><Relationship Id="rId14" Type="http://schemas.openxmlformats.org/officeDocument/2006/relationships/image" Target="../media/image273.jpeg"/><Relationship Id="rId22" Type="http://schemas.openxmlformats.org/officeDocument/2006/relationships/image" Target="../media/image281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0.png"/><Relationship Id="rId13" Type="http://schemas.openxmlformats.org/officeDocument/2006/relationships/image" Target="../media/image295.png"/><Relationship Id="rId18" Type="http://schemas.openxmlformats.org/officeDocument/2006/relationships/image" Target="../media/image300.png"/><Relationship Id="rId3" Type="http://schemas.openxmlformats.org/officeDocument/2006/relationships/image" Target="../media/image285.png"/><Relationship Id="rId7" Type="http://schemas.openxmlformats.org/officeDocument/2006/relationships/image" Target="../media/image289.png"/><Relationship Id="rId12" Type="http://schemas.openxmlformats.org/officeDocument/2006/relationships/image" Target="../media/image294.png"/><Relationship Id="rId17" Type="http://schemas.openxmlformats.org/officeDocument/2006/relationships/image" Target="../media/image299.png"/><Relationship Id="rId2" Type="http://schemas.openxmlformats.org/officeDocument/2006/relationships/image" Target="../media/image284.png"/><Relationship Id="rId16" Type="http://schemas.openxmlformats.org/officeDocument/2006/relationships/image" Target="../media/image298.png"/><Relationship Id="rId20" Type="http://schemas.openxmlformats.org/officeDocument/2006/relationships/image" Target="../media/image6.png"/><Relationship Id="rId1" Type="http://schemas.openxmlformats.org/officeDocument/2006/relationships/image" Target="../media/image283.jpeg"/><Relationship Id="rId6" Type="http://schemas.openxmlformats.org/officeDocument/2006/relationships/image" Target="../media/image288.png"/><Relationship Id="rId11" Type="http://schemas.openxmlformats.org/officeDocument/2006/relationships/image" Target="../media/image293.png"/><Relationship Id="rId5" Type="http://schemas.openxmlformats.org/officeDocument/2006/relationships/image" Target="../media/image287.png"/><Relationship Id="rId15" Type="http://schemas.openxmlformats.org/officeDocument/2006/relationships/image" Target="../media/image297.png"/><Relationship Id="rId10" Type="http://schemas.openxmlformats.org/officeDocument/2006/relationships/image" Target="../media/image292.png"/><Relationship Id="rId19" Type="http://schemas.openxmlformats.org/officeDocument/2006/relationships/image" Target="../media/image301.png"/><Relationship Id="rId4" Type="http://schemas.openxmlformats.org/officeDocument/2006/relationships/image" Target="../media/image286.png"/><Relationship Id="rId9" Type="http://schemas.openxmlformats.org/officeDocument/2006/relationships/image" Target="../media/image291.png"/><Relationship Id="rId14" Type="http://schemas.openxmlformats.org/officeDocument/2006/relationships/image" Target="../media/image296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9.jpeg"/><Relationship Id="rId13" Type="http://schemas.openxmlformats.org/officeDocument/2006/relationships/image" Target="../media/image314.png"/><Relationship Id="rId18" Type="http://schemas.openxmlformats.org/officeDocument/2006/relationships/image" Target="../media/image319.png"/><Relationship Id="rId26" Type="http://schemas.openxmlformats.org/officeDocument/2006/relationships/image" Target="../media/image6.png"/><Relationship Id="rId3" Type="http://schemas.openxmlformats.org/officeDocument/2006/relationships/image" Target="../media/image304.jpeg"/><Relationship Id="rId21" Type="http://schemas.openxmlformats.org/officeDocument/2006/relationships/image" Target="../media/image322.png"/><Relationship Id="rId7" Type="http://schemas.openxmlformats.org/officeDocument/2006/relationships/image" Target="../media/image308.jpeg"/><Relationship Id="rId12" Type="http://schemas.openxmlformats.org/officeDocument/2006/relationships/image" Target="../media/image313.jpeg"/><Relationship Id="rId17" Type="http://schemas.openxmlformats.org/officeDocument/2006/relationships/image" Target="../media/image318.png"/><Relationship Id="rId25" Type="http://schemas.openxmlformats.org/officeDocument/2006/relationships/image" Target="../media/image326.jpeg"/><Relationship Id="rId2" Type="http://schemas.openxmlformats.org/officeDocument/2006/relationships/image" Target="../media/image303.jpeg"/><Relationship Id="rId16" Type="http://schemas.openxmlformats.org/officeDocument/2006/relationships/image" Target="../media/image317.png"/><Relationship Id="rId20" Type="http://schemas.openxmlformats.org/officeDocument/2006/relationships/image" Target="../media/image321.png"/><Relationship Id="rId1" Type="http://schemas.openxmlformats.org/officeDocument/2006/relationships/image" Target="../media/image302.jpeg"/><Relationship Id="rId6" Type="http://schemas.openxmlformats.org/officeDocument/2006/relationships/image" Target="../media/image307.jpeg"/><Relationship Id="rId11" Type="http://schemas.openxmlformats.org/officeDocument/2006/relationships/image" Target="../media/image312.jpeg"/><Relationship Id="rId24" Type="http://schemas.openxmlformats.org/officeDocument/2006/relationships/image" Target="../media/image325.png"/><Relationship Id="rId5" Type="http://schemas.openxmlformats.org/officeDocument/2006/relationships/image" Target="../media/image306.jpeg"/><Relationship Id="rId15" Type="http://schemas.openxmlformats.org/officeDocument/2006/relationships/image" Target="../media/image316.png"/><Relationship Id="rId23" Type="http://schemas.openxmlformats.org/officeDocument/2006/relationships/image" Target="../media/image324.png"/><Relationship Id="rId10" Type="http://schemas.openxmlformats.org/officeDocument/2006/relationships/image" Target="../media/image311.jpeg"/><Relationship Id="rId19" Type="http://schemas.openxmlformats.org/officeDocument/2006/relationships/image" Target="../media/image320.png"/><Relationship Id="rId4" Type="http://schemas.openxmlformats.org/officeDocument/2006/relationships/image" Target="../media/image305.jpeg"/><Relationship Id="rId9" Type="http://schemas.openxmlformats.org/officeDocument/2006/relationships/image" Target="../media/image310.jpeg"/><Relationship Id="rId14" Type="http://schemas.openxmlformats.org/officeDocument/2006/relationships/image" Target="../media/image315.png"/><Relationship Id="rId22" Type="http://schemas.openxmlformats.org/officeDocument/2006/relationships/image" Target="../media/image323.pn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4.png"/><Relationship Id="rId13" Type="http://schemas.openxmlformats.org/officeDocument/2006/relationships/image" Target="../media/image339.jpeg"/><Relationship Id="rId18" Type="http://schemas.openxmlformats.org/officeDocument/2006/relationships/image" Target="../media/image344.jpeg"/><Relationship Id="rId26" Type="http://schemas.openxmlformats.org/officeDocument/2006/relationships/image" Target="../media/image352.jpeg"/><Relationship Id="rId39" Type="http://schemas.openxmlformats.org/officeDocument/2006/relationships/image" Target="../media/image365.png"/><Relationship Id="rId3" Type="http://schemas.openxmlformats.org/officeDocument/2006/relationships/image" Target="../media/image329.jpeg"/><Relationship Id="rId21" Type="http://schemas.openxmlformats.org/officeDocument/2006/relationships/image" Target="../media/image347.jpeg"/><Relationship Id="rId34" Type="http://schemas.openxmlformats.org/officeDocument/2006/relationships/image" Target="../media/image360.jpeg"/><Relationship Id="rId42" Type="http://schemas.openxmlformats.org/officeDocument/2006/relationships/image" Target="../media/image368.jpeg"/><Relationship Id="rId7" Type="http://schemas.openxmlformats.org/officeDocument/2006/relationships/image" Target="../media/image333.jpeg"/><Relationship Id="rId12" Type="http://schemas.openxmlformats.org/officeDocument/2006/relationships/image" Target="../media/image338.jpeg"/><Relationship Id="rId17" Type="http://schemas.openxmlformats.org/officeDocument/2006/relationships/image" Target="../media/image343.jpeg"/><Relationship Id="rId25" Type="http://schemas.openxmlformats.org/officeDocument/2006/relationships/image" Target="../media/image351.jpeg"/><Relationship Id="rId33" Type="http://schemas.openxmlformats.org/officeDocument/2006/relationships/image" Target="../media/image359.jpeg"/><Relationship Id="rId38" Type="http://schemas.openxmlformats.org/officeDocument/2006/relationships/image" Target="../media/image364.png"/><Relationship Id="rId46" Type="http://schemas.openxmlformats.org/officeDocument/2006/relationships/image" Target="../media/image6.png"/><Relationship Id="rId2" Type="http://schemas.openxmlformats.org/officeDocument/2006/relationships/image" Target="../media/image328.jpeg"/><Relationship Id="rId16" Type="http://schemas.openxmlformats.org/officeDocument/2006/relationships/image" Target="../media/image342.jpeg"/><Relationship Id="rId20" Type="http://schemas.openxmlformats.org/officeDocument/2006/relationships/image" Target="../media/image346.jpeg"/><Relationship Id="rId29" Type="http://schemas.openxmlformats.org/officeDocument/2006/relationships/image" Target="../media/image355.jpeg"/><Relationship Id="rId41" Type="http://schemas.openxmlformats.org/officeDocument/2006/relationships/image" Target="../media/image367.jpeg"/><Relationship Id="rId1" Type="http://schemas.openxmlformats.org/officeDocument/2006/relationships/image" Target="../media/image327.png"/><Relationship Id="rId6" Type="http://schemas.openxmlformats.org/officeDocument/2006/relationships/image" Target="../media/image332.jpeg"/><Relationship Id="rId11" Type="http://schemas.openxmlformats.org/officeDocument/2006/relationships/image" Target="../media/image337.jpeg"/><Relationship Id="rId24" Type="http://schemas.openxmlformats.org/officeDocument/2006/relationships/image" Target="../media/image350.jpeg"/><Relationship Id="rId32" Type="http://schemas.openxmlformats.org/officeDocument/2006/relationships/image" Target="../media/image358.jpeg"/><Relationship Id="rId37" Type="http://schemas.openxmlformats.org/officeDocument/2006/relationships/image" Target="../media/image363.png"/><Relationship Id="rId40" Type="http://schemas.openxmlformats.org/officeDocument/2006/relationships/image" Target="../media/image366.png"/><Relationship Id="rId45" Type="http://schemas.openxmlformats.org/officeDocument/2006/relationships/image" Target="../media/image371.jpeg"/><Relationship Id="rId5" Type="http://schemas.openxmlformats.org/officeDocument/2006/relationships/image" Target="../media/image331.jpeg"/><Relationship Id="rId15" Type="http://schemas.openxmlformats.org/officeDocument/2006/relationships/image" Target="../media/image341.jpeg"/><Relationship Id="rId23" Type="http://schemas.openxmlformats.org/officeDocument/2006/relationships/image" Target="../media/image349.jpeg"/><Relationship Id="rId28" Type="http://schemas.openxmlformats.org/officeDocument/2006/relationships/image" Target="../media/image354.jpeg"/><Relationship Id="rId36" Type="http://schemas.openxmlformats.org/officeDocument/2006/relationships/image" Target="../media/image362.png"/><Relationship Id="rId10" Type="http://schemas.openxmlformats.org/officeDocument/2006/relationships/image" Target="../media/image336.jpeg"/><Relationship Id="rId19" Type="http://schemas.openxmlformats.org/officeDocument/2006/relationships/image" Target="../media/image345.png"/><Relationship Id="rId31" Type="http://schemas.openxmlformats.org/officeDocument/2006/relationships/image" Target="../media/image357.jpeg"/><Relationship Id="rId44" Type="http://schemas.openxmlformats.org/officeDocument/2006/relationships/image" Target="../media/image370.jpeg"/><Relationship Id="rId4" Type="http://schemas.openxmlformats.org/officeDocument/2006/relationships/image" Target="../media/image330.jpeg"/><Relationship Id="rId9" Type="http://schemas.openxmlformats.org/officeDocument/2006/relationships/image" Target="../media/image335.jpeg"/><Relationship Id="rId14" Type="http://schemas.openxmlformats.org/officeDocument/2006/relationships/image" Target="../media/image340.jpeg"/><Relationship Id="rId22" Type="http://schemas.openxmlformats.org/officeDocument/2006/relationships/image" Target="../media/image348.jpeg"/><Relationship Id="rId27" Type="http://schemas.openxmlformats.org/officeDocument/2006/relationships/image" Target="../media/image353.jpeg"/><Relationship Id="rId30" Type="http://schemas.openxmlformats.org/officeDocument/2006/relationships/image" Target="../media/image356.jpeg"/><Relationship Id="rId35" Type="http://schemas.openxmlformats.org/officeDocument/2006/relationships/image" Target="../media/image361.png"/><Relationship Id="rId43" Type="http://schemas.openxmlformats.org/officeDocument/2006/relationships/image" Target="../media/image369.jpe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73.jpeg"/><Relationship Id="rId1" Type="http://schemas.openxmlformats.org/officeDocument/2006/relationships/image" Target="../media/image372.jpeg"/><Relationship Id="rId4" Type="http://schemas.openxmlformats.org/officeDocument/2006/relationships/image" Target="../media/image374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2.png"/><Relationship Id="rId13" Type="http://schemas.openxmlformats.org/officeDocument/2006/relationships/image" Target="../media/image387.png"/><Relationship Id="rId18" Type="http://schemas.openxmlformats.org/officeDocument/2006/relationships/image" Target="../media/image392.jpeg"/><Relationship Id="rId26" Type="http://schemas.openxmlformats.org/officeDocument/2006/relationships/image" Target="../media/image400.jpeg"/><Relationship Id="rId3" Type="http://schemas.openxmlformats.org/officeDocument/2006/relationships/image" Target="../media/image377.jpeg"/><Relationship Id="rId21" Type="http://schemas.openxmlformats.org/officeDocument/2006/relationships/image" Target="../media/image395.png"/><Relationship Id="rId34" Type="http://schemas.openxmlformats.org/officeDocument/2006/relationships/image" Target="../media/image407.png"/><Relationship Id="rId7" Type="http://schemas.openxmlformats.org/officeDocument/2006/relationships/image" Target="../media/image381.emf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6.png"/><Relationship Id="rId2" Type="http://schemas.openxmlformats.org/officeDocument/2006/relationships/image" Target="../media/image376.jpeg"/><Relationship Id="rId16" Type="http://schemas.openxmlformats.org/officeDocument/2006/relationships/image" Target="../media/image390.png"/><Relationship Id="rId20" Type="http://schemas.openxmlformats.org/officeDocument/2006/relationships/image" Target="../media/image394.jpeg"/><Relationship Id="rId29" Type="http://schemas.openxmlformats.org/officeDocument/2006/relationships/image" Target="../media/image6.png"/><Relationship Id="rId1" Type="http://schemas.openxmlformats.org/officeDocument/2006/relationships/image" Target="../media/image375.jpeg"/><Relationship Id="rId6" Type="http://schemas.openxmlformats.org/officeDocument/2006/relationships/image" Target="../media/image380.pn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5.png"/><Relationship Id="rId5" Type="http://schemas.openxmlformats.org/officeDocument/2006/relationships/image" Target="../media/image379.png"/><Relationship Id="rId15" Type="http://schemas.openxmlformats.org/officeDocument/2006/relationships/image" Target="../media/image389.pn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10" Type="http://schemas.openxmlformats.org/officeDocument/2006/relationships/image" Target="../media/image384.jpeg"/><Relationship Id="rId19" Type="http://schemas.openxmlformats.org/officeDocument/2006/relationships/image" Target="../media/image393.jpeg"/><Relationship Id="rId31" Type="http://schemas.openxmlformats.org/officeDocument/2006/relationships/image" Target="../media/image404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png"/><Relationship Id="rId27" Type="http://schemas.openxmlformats.org/officeDocument/2006/relationships/image" Target="../media/image401.jpeg"/><Relationship Id="rId30" Type="http://schemas.openxmlformats.org/officeDocument/2006/relationships/image" Target="../media/image403.jpeg"/><Relationship Id="rId35" Type="http://schemas.openxmlformats.org/officeDocument/2006/relationships/image" Target="../media/image408.jpe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6.jpeg"/><Relationship Id="rId13" Type="http://schemas.openxmlformats.org/officeDocument/2006/relationships/image" Target="../media/image421.jpeg"/><Relationship Id="rId18" Type="http://schemas.openxmlformats.org/officeDocument/2006/relationships/image" Target="../media/image426.png"/><Relationship Id="rId3" Type="http://schemas.openxmlformats.org/officeDocument/2006/relationships/image" Target="../media/image411.jpeg"/><Relationship Id="rId21" Type="http://schemas.openxmlformats.org/officeDocument/2006/relationships/image" Target="../media/image6.png"/><Relationship Id="rId7" Type="http://schemas.openxmlformats.org/officeDocument/2006/relationships/image" Target="../media/image415.png"/><Relationship Id="rId12" Type="http://schemas.openxmlformats.org/officeDocument/2006/relationships/image" Target="../media/image420.jpeg"/><Relationship Id="rId17" Type="http://schemas.openxmlformats.org/officeDocument/2006/relationships/image" Target="../media/image425.png"/><Relationship Id="rId2" Type="http://schemas.openxmlformats.org/officeDocument/2006/relationships/image" Target="../media/image410.jpeg"/><Relationship Id="rId16" Type="http://schemas.openxmlformats.org/officeDocument/2006/relationships/image" Target="../media/image424.png"/><Relationship Id="rId20" Type="http://schemas.openxmlformats.org/officeDocument/2006/relationships/image" Target="../media/image428.jpeg"/><Relationship Id="rId1" Type="http://schemas.openxmlformats.org/officeDocument/2006/relationships/image" Target="../media/image409.jpeg"/><Relationship Id="rId6" Type="http://schemas.openxmlformats.org/officeDocument/2006/relationships/image" Target="../media/image414.png"/><Relationship Id="rId11" Type="http://schemas.openxmlformats.org/officeDocument/2006/relationships/image" Target="../media/image419.jpeg"/><Relationship Id="rId5" Type="http://schemas.openxmlformats.org/officeDocument/2006/relationships/image" Target="../media/image413.png"/><Relationship Id="rId15" Type="http://schemas.openxmlformats.org/officeDocument/2006/relationships/image" Target="../media/image423.png"/><Relationship Id="rId10" Type="http://schemas.openxmlformats.org/officeDocument/2006/relationships/image" Target="../media/image418.png"/><Relationship Id="rId19" Type="http://schemas.openxmlformats.org/officeDocument/2006/relationships/image" Target="../media/image427.png"/><Relationship Id="rId4" Type="http://schemas.openxmlformats.org/officeDocument/2006/relationships/image" Target="../media/image412.jpeg"/><Relationship Id="rId9" Type="http://schemas.openxmlformats.org/officeDocument/2006/relationships/image" Target="../media/image417.png"/><Relationship Id="rId14" Type="http://schemas.openxmlformats.org/officeDocument/2006/relationships/image" Target="../media/image422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6.png"/><Relationship Id="rId13" Type="http://schemas.openxmlformats.org/officeDocument/2006/relationships/image" Target="../media/image440.jpeg"/><Relationship Id="rId3" Type="http://schemas.openxmlformats.org/officeDocument/2006/relationships/image" Target="../media/image431.jpeg"/><Relationship Id="rId7" Type="http://schemas.openxmlformats.org/officeDocument/2006/relationships/image" Target="../media/image435.jpeg"/><Relationship Id="rId12" Type="http://schemas.openxmlformats.org/officeDocument/2006/relationships/image" Target="../media/image6.png"/><Relationship Id="rId2" Type="http://schemas.openxmlformats.org/officeDocument/2006/relationships/image" Target="../media/image430.emf"/><Relationship Id="rId1" Type="http://schemas.openxmlformats.org/officeDocument/2006/relationships/image" Target="../media/image429.png"/><Relationship Id="rId6" Type="http://schemas.openxmlformats.org/officeDocument/2006/relationships/image" Target="../media/image434.jpeg"/><Relationship Id="rId11" Type="http://schemas.openxmlformats.org/officeDocument/2006/relationships/image" Target="../media/image439.png"/><Relationship Id="rId5" Type="http://schemas.openxmlformats.org/officeDocument/2006/relationships/image" Target="../media/image433.png"/><Relationship Id="rId10" Type="http://schemas.openxmlformats.org/officeDocument/2006/relationships/image" Target="../media/image438.png"/><Relationship Id="rId4" Type="http://schemas.openxmlformats.org/officeDocument/2006/relationships/image" Target="../media/image432.png"/><Relationship Id="rId9" Type="http://schemas.openxmlformats.org/officeDocument/2006/relationships/image" Target="../media/image437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4.png"/><Relationship Id="rId2" Type="http://schemas.openxmlformats.org/officeDocument/2006/relationships/image" Target="../media/image443.jpeg"/><Relationship Id="rId1" Type="http://schemas.openxmlformats.org/officeDocument/2006/relationships/image" Target="../media/image442.png"/><Relationship Id="rId6" Type="http://schemas.openxmlformats.org/officeDocument/2006/relationships/image" Target="../media/image6.png"/><Relationship Id="rId5" Type="http://schemas.openxmlformats.org/officeDocument/2006/relationships/image" Target="../media/image446.jpeg"/><Relationship Id="rId4" Type="http://schemas.openxmlformats.org/officeDocument/2006/relationships/image" Target="../media/image445.jpe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4.jpeg"/><Relationship Id="rId13" Type="http://schemas.openxmlformats.org/officeDocument/2006/relationships/image" Target="../media/image458.png"/><Relationship Id="rId3" Type="http://schemas.openxmlformats.org/officeDocument/2006/relationships/image" Target="../media/image449.jpeg"/><Relationship Id="rId7" Type="http://schemas.openxmlformats.org/officeDocument/2006/relationships/image" Target="../media/image453.png"/><Relationship Id="rId12" Type="http://schemas.openxmlformats.org/officeDocument/2006/relationships/image" Target="../media/image457.png"/><Relationship Id="rId2" Type="http://schemas.openxmlformats.org/officeDocument/2006/relationships/image" Target="../media/image448.jpeg"/><Relationship Id="rId1" Type="http://schemas.openxmlformats.org/officeDocument/2006/relationships/image" Target="../media/image447.jpeg"/><Relationship Id="rId6" Type="http://schemas.openxmlformats.org/officeDocument/2006/relationships/image" Target="../media/image452.jpeg"/><Relationship Id="rId11" Type="http://schemas.openxmlformats.org/officeDocument/2006/relationships/image" Target="../media/image6.png"/><Relationship Id="rId5" Type="http://schemas.openxmlformats.org/officeDocument/2006/relationships/image" Target="../media/image451.png"/><Relationship Id="rId10" Type="http://schemas.openxmlformats.org/officeDocument/2006/relationships/image" Target="../media/image456.jpeg"/><Relationship Id="rId4" Type="http://schemas.openxmlformats.org/officeDocument/2006/relationships/image" Target="../media/image450.png"/><Relationship Id="rId9" Type="http://schemas.openxmlformats.org/officeDocument/2006/relationships/image" Target="../media/image455.jpeg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5.png"/><Relationship Id="rId13" Type="http://schemas.openxmlformats.org/officeDocument/2006/relationships/image" Target="../media/image470.jpeg"/><Relationship Id="rId18" Type="http://schemas.openxmlformats.org/officeDocument/2006/relationships/image" Target="../media/image475.png"/><Relationship Id="rId3" Type="http://schemas.openxmlformats.org/officeDocument/2006/relationships/image" Target="../media/image461.png"/><Relationship Id="rId21" Type="http://schemas.openxmlformats.org/officeDocument/2006/relationships/image" Target="../media/image446.jpeg"/><Relationship Id="rId7" Type="http://schemas.openxmlformats.org/officeDocument/2006/relationships/image" Target="../media/image464.png"/><Relationship Id="rId12" Type="http://schemas.openxmlformats.org/officeDocument/2006/relationships/image" Target="../media/image469.png"/><Relationship Id="rId17" Type="http://schemas.openxmlformats.org/officeDocument/2006/relationships/image" Target="../media/image474.png"/><Relationship Id="rId2" Type="http://schemas.openxmlformats.org/officeDocument/2006/relationships/image" Target="../media/image460.png"/><Relationship Id="rId16" Type="http://schemas.openxmlformats.org/officeDocument/2006/relationships/image" Target="../media/image473.png"/><Relationship Id="rId20" Type="http://schemas.openxmlformats.org/officeDocument/2006/relationships/image" Target="../media/image445.jpeg"/><Relationship Id="rId1" Type="http://schemas.openxmlformats.org/officeDocument/2006/relationships/image" Target="../media/image459.png"/><Relationship Id="rId6" Type="http://schemas.openxmlformats.org/officeDocument/2006/relationships/image" Target="../media/image463.png"/><Relationship Id="rId11" Type="http://schemas.openxmlformats.org/officeDocument/2006/relationships/image" Target="../media/image468.png"/><Relationship Id="rId5" Type="http://schemas.openxmlformats.org/officeDocument/2006/relationships/image" Target="../media/image444.png"/><Relationship Id="rId15" Type="http://schemas.openxmlformats.org/officeDocument/2006/relationships/image" Target="../media/image472.png"/><Relationship Id="rId23" Type="http://schemas.openxmlformats.org/officeDocument/2006/relationships/image" Target="../media/image6.png"/><Relationship Id="rId10" Type="http://schemas.openxmlformats.org/officeDocument/2006/relationships/image" Target="../media/image467.png"/><Relationship Id="rId19" Type="http://schemas.openxmlformats.org/officeDocument/2006/relationships/image" Target="../media/image476.png"/><Relationship Id="rId4" Type="http://schemas.openxmlformats.org/officeDocument/2006/relationships/image" Target="../media/image462.png"/><Relationship Id="rId9" Type="http://schemas.openxmlformats.org/officeDocument/2006/relationships/image" Target="../media/image466.png"/><Relationship Id="rId14" Type="http://schemas.openxmlformats.org/officeDocument/2006/relationships/image" Target="../media/image471.png"/><Relationship Id="rId22" Type="http://schemas.openxmlformats.org/officeDocument/2006/relationships/image" Target="../media/image477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5.png"/><Relationship Id="rId13" Type="http://schemas.openxmlformats.org/officeDocument/2006/relationships/image" Target="../media/image490.png"/><Relationship Id="rId18" Type="http://schemas.openxmlformats.org/officeDocument/2006/relationships/image" Target="../media/image495.png"/><Relationship Id="rId26" Type="http://schemas.openxmlformats.org/officeDocument/2006/relationships/image" Target="../media/image244.png"/><Relationship Id="rId3" Type="http://schemas.openxmlformats.org/officeDocument/2006/relationships/image" Target="../media/image480.jpeg"/><Relationship Id="rId21" Type="http://schemas.openxmlformats.org/officeDocument/2006/relationships/image" Target="../media/image498.png"/><Relationship Id="rId7" Type="http://schemas.openxmlformats.org/officeDocument/2006/relationships/image" Target="../media/image484.png"/><Relationship Id="rId12" Type="http://schemas.openxmlformats.org/officeDocument/2006/relationships/image" Target="../media/image489.png"/><Relationship Id="rId17" Type="http://schemas.openxmlformats.org/officeDocument/2006/relationships/image" Target="../media/image494.png"/><Relationship Id="rId25" Type="http://schemas.openxmlformats.org/officeDocument/2006/relationships/image" Target="../media/image502.jpeg"/><Relationship Id="rId2" Type="http://schemas.openxmlformats.org/officeDocument/2006/relationships/image" Target="../media/image479.jpeg"/><Relationship Id="rId16" Type="http://schemas.openxmlformats.org/officeDocument/2006/relationships/image" Target="../media/image493.png"/><Relationship Id="rId20" Type="http://schemas.openxmlformats.org/officeDocument/2006/relationships/image" Target="../media/image497.png"/><Relationship Id="rId29" Type="http://schemas.openxmlformats.org/officeDocument/2006/relationships/image" Target="../media/image504.jpeg"/><Relationship Id="rId1" Type="http://schemas.openxmlformats.org/officeDocument/2006/relationships/image" Target="../media/image478.jpeg"/><Relationship Id="rId6" Type="http://schemas.openxmlformats.org/officeDocument/2006/relationships/image" Target="../media/image483.png"/><Relationship Id="rId11" Type="http://schemas.openxmlformats.org/officeDocument/2006/relationships/image" Target="../media/image488.png"/><Relationship Id="rId24" Type="http://schemas.openxmlformats.org/officeDocument/2006/relationships/image" Target="../media/image501.png"/><Relationship Id="rId5" Type="http://schemas.openxmlformats.org/officeDocument/2006/relationships/image" Target="../media/image482.png"/><Relationship Id="rId15" Type="http://schemas.openxmlformats.org/officeDocument/2006/relationships/image" Target="../media/image492.png"/><Relationship Id="rId23" Type="http://schemas.openxmlformats.org/officeDocument/2006/relationships/image" Target="../media/image500.png"/><Relationship Id="rId28" Type="http://schemas.openxmlformats.org/officeDocument/2006/relationships/image" Target="../media/image503.png"/><Relationship Id="rId10" Type="http://schemas.openxmlformats.org/officeDocument/2006/relationships/image" Target="../media/image487.png"/><Relationship Id="rId19" Type="http://schemas.openxmlformats.org/officeDocument/2006/relationships/image" Target="../media/image496.png"/><Relationship Id="rId4" Type="http://schemas.openxmlformats.org/officeDocument/2006/relationships/image" Target="../media/image481.png"/><Relationship Id="rId9" Type="http://schemas.openxmlformats.org/officeDocument/2006/relationships/image" Target="../media/image486.png"/><Relationship Id="rId14" Type="http://schemas.openxmlformats.org/officeDocument/2006/relationships/image" Target="../media/image491.jpeg"/><Relationship Id="rId22" Type="http://schemas.openxmlformats.org/officeDocument/2006/relationships/image" Target="../media/image499.png"/><Relationship Id="rId27" Type="http://schemas.openxmlformats.org/officeDocument/2006/relationships/image" Target="../media/image6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7.png"/><Relationship Id="rId2" Type="http://schemas.openxmlformats.org/officeDocument/2006/relationships/image" Target="../media/image506.emf"/><Relationship Id="rId1" Type="http://schemas.openxmlformats.org/officeDocument/2006/relationships/image" Target="../media/image505.emf"/><Relationship Id="rId5" Type="http://schemas.openxmlformats.org/officeDocument/2006/relationships/image" Target="../media/image6.png"/><Relationship Id="rId4" Type="http://schemas.openxmlformats.org/officeDocument/2006/relationships/image" Target="../media/image508.png"/></Relationships>
</file>

<file path=xl/drawings/_rels/drawing4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6.jpeg"/><Relationship Id="rId13" Type="http://schemas.openxmlformats.org/officeDocument/2006/relationships/image" Target="../media/image521.jpeg"/><Relationship Id="rId18" Type="http://schemas.openxmlformats.org/officeDocument/2006/relationships/image" Target="../media/image526.png"/><Relationship Id="rId26" Type="http://schemas.openxmlformats.org/officeDocument/2006/relationships/image" Target="../media/image534.png"/><Relationship Id="rId3" Type="http://schemas.openxmlformats.org/officeDocument/2006/relationships/image" Target="../media/image511.jpeg"/><Relationship Id="rId21" Type="http://schemas.openxmlformats.org/officeDocument/2006/relationships/image" Target="../media/image529.png"/><Relationship Id="rId7" Type="http://schemas.openxmlformats.org/officeDocument/2006/relationships/image" Target="../media/image515.jpeg"/><Relationship Id="rId12" Type="http://schemas.openxmlformats.org/officeDocument/2006/relationships/image" Target="../media/image520.jpeg"/><Relationship Id="rId17" Type="http://schemas.openxmlformats.org/officeDocument/2006/relationships/image" Target="../media/image525.jpeg"/><Relationship Id="rId25" Type="http://schemas.openxmlformats.org/officeDocument/2006/relationships/image" Target="../media/image533.jpeg"/><Relationship Id="rId2" Type="http://schemas.openxmlformats.org/officeDocument/2006/relationships/image" Target="../media/image510.jpeg"/><Relationship Id="rId16" Type="http://schemas.openxmlformats.org/officeDocument/2006/relationships/image" Target="../media/image524.jpeg"/><Relationship Id="rId20" Type="http://schemas.openxmlformats.org/officeDocument/2006/relationships/image" Target="../media/image528.png"/><Relationship Id="rId1" Type="http://schemas.openxmlformats.org/officeDocument/2006/relationships/image" Target="../media/image509.jpeg"/><Relationship Id="rId6" Type="http://schemas.openxmlformats.org/officeDocument/2006/relationships/image" Target="../media/image514.jpeg"/><Relationship Id="rId11" Type="http://schemas.openxmlformats.org/officeDocument/2006/relationships/image" Target="../media/image519.jpeg"/><Relationship Id="rId24" Type="http://schemas.openxmlformats.org/officeDocument/2006/relationships/image" Target="../media/image532.png"/><Relationship Id="rId5" Type="http://schemas.openxmlformats.org/officeDocument/2006/relationships/image" Target="../media/image513.jpeg"/><Relationship Id="rId15" Type="http://schemas.openxmlformats.org/officeDocument/2006/relationships/image" Target="../media/image523.jpeg"/><Relationship Id="rId23" Type="http://schemas.openxmlformats.org/officeDocument/2006/relationships/image" Target="../media/image531.png"/><Relationship Id="rId10" Type="http://schemas.openxmlformats.org/officeDocument/2006/relationships/image" Target="../media/image518.jpeg"/><Relationship Id="rId19" Type="http://schemas.openxmlformats.org/officeDocument/2006/relationships/image" Target="../media/image527.png"/><Relationship Id="rId4" Type="http://schemas.openxmlformats.org/officeDocument/2006/relationships/image" Target="../media/image512.jpeg"/><Relationship Id="rId9" Type="http://schemas.openxmlformats.org/officeDocument/2006/relationships/image" Target="../media/image517.jpeg"/><Relationship Id="rId14" Type="http://schemas.openxmlformats.org/officeDocument/2006/relationships/image" Target="../media/image522.jpeg"/><Relationship Id="rId22" Type="http://schemas.openxmlformats.org/officeDocument/2006/relationships/image" Target="../media/image530.png"/><Relationship Id="rId27" Type="http://schemas.openxmlformats.org/officeDocument/2006/relationships/image" Target="../media/image535.png"/></Relationships>
</file>

<file path=xl/drawings/_rels/drawing4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3.png"/><Relationship Id="rId13" Type="http://schemas.openxmlformats.org/officeDocument/2006/relationships/image" Target="../media/image548.jpeg"/><Relationship Id="rId18" Type="http://schemas.openxmlformats.org/officeDocument/2006/relationships/image" Target="../media/image553.png"/><Relationship Id="rId26" Type="http://schemas.openxmlformats.org/officeDocument/2006/relationships/image" Target="../media/image561.png"/><Relationship Id="rId3" Type="http://schemas.openxmlformats.org/officeDocument/2006/relationships/image" Target="../media/image538.png"/><Relationship Id="rId21" Type="http://schemas.openxmlformats.org/officeDocument/2006/relationships/image" Target="../media/image556.jpeg"/><Relationship Id="rId34" Type="http://schemas.openxmlformats.org/officeDocument/2006/relationships/image" Target="../media/image569.jpeg"/><Relationship Id="rId7" Type="http://schemas.openxmlformats.org/officeDocument/2006/relationships/image" Target="../media/image542.png"/><Relationship Id="rId12" Type="http://schemas.openxmlformats.org/officeDocument/2006/relationships/image" Target="../media/image547.jpeg"/><Relationship Id="rId17" Type="http://schemas.openxmlformats.org/officeDocument/2006/relationships/image" Target="../media/image552.jpeg"/><Relationship Id="rId25" Type="http://schemas.openxmlformats.org/officeDocument/2006/relationships/image" Target="../media/image560.jpeg"/><Relationship Id="rId33" Type="http://schemas.openxmlformats.org/officeDocument/2006/relationships/image" Target="../media/image568.jpeg"/><Relationship Id="rId38" Type="http://schemas.openxmlformats.org/officeDocument/2006/relationships/image" Target="../media/image573.png"/><Relationship Id="rId2" Type="http://schemas.openxmlformats.org/officeDocument/2006/relationships/image" Target="../media/image537.jpeg"/><Relationship Id="rId16" Type="http://schemas.openxmlformats.org/officeDocument/2006/relationships/image" Target="../media/image551.png"/><Relationship Id="rId20" Type="http://schemas.openxmlformats.org/officeDocument/2006/relationships/image" Target="../media/image555.jpeg"/><Relationship Id="rId29" Type="http://schemas.openxmlformats.org/officeDocument/2006/relationships/image" Target="../media/image564.jpeg"/><Relationship Id="rId1" Type="http://schemas.openxmlformats.org/officeDocument/2006/relationships/image" Target="../media/image536.jpeg"/><Relationship Id="rId6" Type="http://schemas.openxmlformats.org/officeDocument/2006/relationships/image" Target="../media/image541.jpeg"/><Relationship Id="rId11" Type="http://schemas.openxmlformats.org/officeDocument/2006/relationships/image" Target="../media/image546.jpeg"/><Relationship Id="rId24" Type="http://schemas.openxmlformats.org/officeDocument/2006/relationships/image" Target="../media/image559.jpeg"/><Relationship Id="rId32" Type="http://schemas.openxmlformats.org/officeDocument/2006/relationships/image" Target="../media/image567.jpeg"/><Relationship Id="rId37" Type="http://schemas.openxmlformats.org/officeDocument/2006/relationships/image" Target="../media/image572.png"/><Relationship Id="rId5" Type="http://schemas.openxmlformats.org/officeDocument/2006/relationships/image" Target="../media/image540.jpeg"/><Relationship Id="rId15" Type="http://schemas.openxmlformats.org/officeDocument/2006/relationships/image" Target="../media/image550.png"/><Relationship Id="rId23" Type="http://schemas.openxmlformats.org/officeDocument/2006/relationships/image" Target="../media/image558.jpeg"/><Relationship Id="rId28" Type="http://schemas.openxmlformats.org/officeDocument/2006/relationships/image" Target="../media/image563.jpeg"/><Relationship Id="rId36" Type="http://schemas.openxmlformats.org/officeDocument/2006/relationships/image" Target="../media/image571.jpeg"/><Relationship Id="rId10" Type="http://schemas.openxmlformats.org/officeDocument/2006/relationships/image" Target="../media/image545.png"/><Relationship Id="rId19" Type="http://schemas.openxmlformats.org/officeDocument/2006/relationships/image" Target="../media/image554.jpeg"/><Relationship Id="rId31" Type="http://schemas.openxmlformats.org/officeDocument/2006/relationships/image" Target="../media/image566.jpeg"/><Relationship Id="rId4" Type="http://schemas.openxmlformats.org/officeDocument/2006/relationships/image" Target="../media/image539.jpeg"/><Relationship Id="rId9" Type="http://schemas.openxmlformats.org/officeDocument/2006/relationships/image" Target="../media/image544.png"/><Relationship Id="rId14" Type="http://schemas.openxmlformats.org/officeDocument/2006/relationships/image" Target="../media/image549.png"/><Relationship Id="rId22" Type="http://schemas.openxmlformats.org/officeDocument/2006/relationships/image" Target="../media/image557.jpeg"/><Relationship Id="rId27" Type="http://schemas.openxmlformats.org/officeDocument/2006/relationships/image" Target="../media/image562.jpeg"/><Relationship Id="rId30" Type="http://schemas.openxmlformats.org/officeDocument/2006/relationships/image" Target="../media/image565.jpeg"/><Relationship Id="rId35" Type="http://schemas.openxmlformats.org/officeDocument/2006/relationships/image" Target="../media/image570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44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4</xdr:col>
      <xdr:colOff>1</xdr:colOff>
      <xdr:row>20</xdr:row>
      <xdr:rowOff>9525</xdr:rowOff>
    </xdr:from>
    <xdr:to>
      <xdr:col>13</xdr:col>
      <xdr:colOff>66676</xdr:colOff>
      <xdr:row>42</xdr:row>
      <xdr:rowOff>142874</xdr:rowOff>
    </xdr:to>
    <xdr:grpSp>
      <xdr:nvGrpSpPr>
        <xdr:cNvPr id="2" name="Группа 2"/>
        <xdr:cNvGrpSpPr>
          <a:grpSpLocks/>
        </xdr:cNvGrpSpPr>
      </xdr:nvGrpSpPr>
      <xdr:grpSpPr bwMode="auto">
        <a:xfrm>
          <a:off x="5143501" y="3619500"/>
          <a:ext cx="5257800" cy="3905249"/>
          <a:chOff x="13143378" y="1974273"/>
          <a:chExt cx="3968506" cy="4785013"/>
        </a:xfrm>
      </xdr:grpSpPr>
      <xdr:sp macro="" textlink="">
        <xdr:nvSpPr>
          <xdr:cNvPr id="3" name="TextBox 3"/>
          <xdr:cNvSpPr txBox="1">
            <a:spLocks noChangeArrowheads="1"/>
          </xdr:cNvSpPr>
        </xdr:nvSpPr>
        <xdr:spPr bwMode="auto">
          <a:xfrm>
            <a:off x="13143378" y="1974273"/>
            <a:ext cx="3968506" cy="4785013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chemeClr val="bg1">
                <a:alpha val="60000"/>
              </a:schemeClr>
            </a:outerShdw>
          </a:effectLst>
        </xdr:spPr>
        <xdr:txBody>
          <a:bodyPr vertOverflow="clip" wrap="square" lIns="27432" tIns="0" rIns="0" bIns="22860" anchor="b" upright="1"/>
          <a:lstStyle/>
          <a:p>
            <a:pPr rtl="0"/>
            <a:r>
              <a:rPr lang="ru-RU" sz="1000" baseline="0" smtClean="0">
                <a:latin typeface="Arial" pitchFamily="34" charset="0"/>
                <a:ea typeface="+mn-ea"/>
                <a:cs typeface="Arial" pitchFamily="34" charset="0"/>
              </a:rPr>
              <a:t>Рады представить вам Онлайн-сервис дизайна экстерьера!</a:t>
            </a:r>
          </a:p>
          <a:p>
            <a:pPr rtl="0"/>
            <a:endParaRPr lang="ru-RU" sz="1000" baseline="0" smtClean="0">
              <a:latin typeface="Arial" pitchFamily="34" charset="0"/>
              <a:ea typeface="+mn-ea"/>
              <a:cs typeface="Arial" pitchFamily="34" charset="0"/>
            </a:endParaRPr>
          </a:p>
          <a:p>
            <a:pPr rtl="0"/>
            <a:r>
              <a:rPr lang="ru-RU" sz="1000" baseline="0" smtClean="0">
                <a:latin typeface="Arial" pitchFamily="34" charset="0"/>
                <a:ea typeface="+mn-ea"/>
                <a:cs typeface="Arial" pitchFamily="34" charset="0"/>
              </a:rPr>
              <a:t>Этот сервис поможет продемонстрировать клиенту продукцию в любом из покрытий и цветов нашего ассортимента,</a:t>
            </a:r>
          </a:p>
          <a:p>
            <a:pPr rtl="0"/>
            <a:r>
              <a:rPr lang="ru-RU" sz="1000" baseline="0" smtClean="0">
                <a:latin typeface="Arial" pitchFamily="34" charset="0"/>
                <a:ea typeface="+mn-ea"/>
                <a:cs typeface="Arial" pitchFamily="34" charset="0"/>
              </a:rPr>
              <a:t>а также показать, как будет выглядеть готовое решение вашего дома.</a:t>
            </a:r>
          </a:p>
          <a:p>
            <a:pPr rtl="0"/>
            <a:endParaRPr lang="ru-RU" sz="1000" baseline="0" smtClean="0">
              <a:latin typeface="Arial" pitchFamily="34" charset="0"/>
              <a:ea typeface="+mn-ea"/>
              <a:cs typeface="Arial" pitchFamily="34" charset="0"/>
            </a:endParaRPr>
          </a:p>
          <a:p>
            <a:pPr rtl="0"/>
            <a:r>
              <a:rPr lang="ru-RU" sz="1000" baseline="0" smtClean="0">
                <a:latin typeface="Arial" pitchFamily="34" charset="0"/>
                <a:ea typeface="+mn-ea"/>
                <a:cs typeface="Arial" pitchFamily="34" charset="0"/>
              </a:rPr>
              <a:t>Для вас мы подготовили шаблоны с вариантами сочетаний цветов и продукции </a:t>
            </a:r>
            <a:r>
              <a:rPr lang="en-US" sz="1000" baseline="0" smtClean="0">
                <a:latin typeface="Arial" pitchFamily="34" charset="0"/>
                <a:ea typeface="+mn-ea"/>
                <a:cs typeface="Arial" pitchFamily="34" charset="0"/>
              </a:rPr>
              <a:t>Grand Line.</a:t>
            </a:r>
            <a:endParaRPr lang="ru-RU" sz="1000" baseline="0" smtClean="0">
              <a:latin typeface="Arial" pitchFamily="34" charset="0"/>
              <a:ea typeface="+mn-ea"/>
              <a:cs typeface="Arial" pitchFamily="34" charset="0"/>
            </a:endParaRPr>
          </a:p>
          <a:p>
            <a:pPr rtl="0"/>
            <a:endParaRPr lang="ru-RU" sz="1000" b="1" i="0" u="none" strike="noStrike" baseline="0" smtClean="0">
              <a:solidFill>
                <a:srgbClr val="000000"/>
              </a:solidFill>
              <a:latin typeface="Arial" pitchFamily="34" charset="0"/>
              <a:ea typeface="+mn-ea"/>
              <a:cs typeface="Arial" pitchFamily="34" charset="0"/>
            </a:endParaRPr>
          </a:p>
          <a:p>
            <a:pPr rtl="0"/>
            <a:r>
              <a:rPr lang="ru-RU" sz="1000" baseline="0" smtClean="0">
                <a:latin typeface="Arial" pitchFamily="34" charset="0"/>
                <a:ea typeface="+mn-ea"/>
                <a:cs typeface="Arial" pitchFamily="34" charset="0"/>
              </a:rPr>
              <a:t>Сервис доступен по ссылке:</a:t>
            </a:r>
          </a:p>
          <a:p>
            <a:pPr rtl="0"/>
            <a:r>
              <a:rPr lang="en-US" sz="1100" baseline="0" smtClean="0">
                <a:latin typeface="+mn-lt"/>
                <a:ea typeface="+mn-ea"/>
                <a:cs typeface="+mn-cs"/>
                <a:hlinkClick xmlns:r="http://schemas.openxmlformats.org/officeDocument/2006/relationships" r:id="rId1"/>
              </a:rPr>
              <a:t>www.grandline.ru/calculator</a:t>
            </a:r>
            <a:endParaRPr lang="ru-RU" sz="1000" b="1" i="0" u="none" strike="noStrike" baseline="0" smtClean="0">
              <a:solidFill>
                <a:srgbClr val="000000"/>
              </a:solidFill>
              <a:latin typeface="Arial" pitchFamily="34" charset="0"/>
              <a:ea typeface="+mn-ea"/>
              <a:cs typeface="Arial" pitchFamily="34" charset="0"/>
            </a:endParaRPr>
          </a:p>
          <a:p>
            <a:pPr rtl="0"/>
            <a:endParaRPr lang="ru-RU" sz="1000" b="1" i="0" u="none" strike="noStrike" baseline="0">
              <a:solidFill>
                <a:srgbClr val="000000"/>
              </a:solidFill>
              <a:latin typeface="Arial" pitchFamily="34" charset="0"/>
              <a:cs typeface="Arial" pitchFamily="34" charset="0"/>
            </a:endParaRPr>
          </a:p>
        </xdr:txBody>
      </xdr:sp>
      <xdr:sp macro="" textlink="">
        <xdr:nvSpPr>
          <xdr:cNvPr id="4" name="TextBox 3"/>
          <xdr:cNvSpPr txBox="1">
            <a:spLocks noChangeArrowheads="1"/>
          </xdr:cNvSpPr>
        </xdr:nvSpPr>
        <xdr:spPr bwMode="auto">
          <a:xfrm>
            <a:off x="13156222" y="1981800"/>
            <a:ext cx="3930721" cy="544588"/>
          </a:xfrm>
          <a:prstGeom prst="rect">
            <a:avLst/>
          </a:prstGeom>
          <a:solidFill>
            <a:schemeClr val="accent2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1200" b="1" i="0" u="none" strike="noStrike" baseline="0" smtClean="0">
                <a:solidFill>
                  <a:sysClr val="windowText" lastClr="000000"/>
                </a:solidFill>
                <a:latin typeface="Arial" pitchFamily="34" charset="0"/>
                <a:ea typeface="+mn-ea"/>
                <a:cs typeface="Arial" pitchFamily="34" charset="0"/>
              </a:rPr>
              <a:t>Онлайн-сервис</a:t>
            </a:r>
            <a:endParaRPr lang="en-US" sz="1200" b="1" i="0" u="none" strike="noStrike" baseline="0">
              <a:solidFill>
                <a:schemeClr val="tx1"/>
              </a:solidFill>
              <a:latin typeface="Arial" pitchFamily="34" charset="0"/>
              <a:cs typeface="Arial" pitchFamily="34" charset="0"/>
            </a:endParaRPr>
          </a:p>
        </xdr:txBody>
      </xdr:sp>
    </xdr:grpSp>
    <xdr:clientData/>
  </xdr:twoCellAnchor>
  <xdr:twoCellAnchor editAs="oneCell">
    <xdr:from>
      <xdr:col>5</xdr:col>
      <xdr:colOff>552450</xdr:colOff>
      <xdr:row>24</xdr:row>
      <xdr:rowOff>71954</xdr:rowOff>
    </xdr:from>
    <xdr:to>
      <xdr:col>11</xdr:col>
      <xdr:colOff>38100</xdr:colOff>
      <xdr:row>30</xdr:row>
      <xdr:rowOff>56733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05550" y="4367729"/>
          <a:ext cx="2847975" cy="1013479"/>
        </a:xfrm>
        <a:prstGeom prst="rect">
          <a:avLst/>
        </a:prstGeom>
      </xdr:spPr>
    </xdr:pic>
    <xdr:clientData/>
  </xdr:twoCellAnchor>
  <xdr:twoCellAnchor editAs="absolute">
    <xdr:from>
      <xdr:col>4</xdr:col>
      <xdr:colOff>9524</xdr:colOff>
      <xdr:row>0</xdr:row>
      <xdr:rowOff>9525</xdr:rowOff>
    </xdr:from>
    <xdr:to>
      <xdr:col>13</xdr:col>
      <xdr:colOff>57150</xdr:colOff>
      <xdr:row>20</xdr:row>
      <xdr:rowOff>0</xdr:rowOff>
    </xdr:to>
    <xdr:grpSp>
      <xdr:nvGrpSpPr>
        <xdr:cNvPr id="7" name="Группа 2"/>
        <xdr:cNvGrpSpPr>
          <a:grpSpLocks/>
        </xdr:cNvGrpSpPr>
      </xdr:nvGrpSpPr>
      <xdr:grpSpPr bwMode="auto">
        <a:xfrm>
          <a:off x="5153024" y="9525"/>
          <a:ext cx="5238751" cy="3600450"/>
          <a:chOff x="13143378" y="1974273"/>
          <a:chExt cx="3968506" cy="4390133"/>
        </a:xfrm>
      </xdr:grpSpPr>
      <xdr:sp macro="" textlink="">
        <xdr:nvSpPr>
          <xdr:cNvPr id="8" name="TextBox 3">
            <a:hlinkClick xmlns:r="http://schemas.openxmlformats.org/officeDocument/2006/relationships" r:id="rId3"/>
          </xdr:cNvPr>
          <xdr:cNvSpPr txBox="1">
            <a:spLocks noChangeArrowheads="1"/>
          </xdr:cNvSpPr>
        </xdr:nvSpPr>
        <xdr:spPr bwMode="auto">
          <a:xfrm>
            <a:off x="13143378" y="1974273"/>
            <a:ext cx="3968506" cy="4390133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chemeClr val="bg1">
                <a:alpha val="60000"/>
              </a:schemeClr>
            </a:outerShdw>
          </a:effectLst>
        </xdr:spPr>
        <xdr:txBody>
          <a:bodyPr vertOverflow="clip" wrap="square" lIns="27432" tIns="0" rIns="0" bIns="22860" anchor="ctr" upright="1"/>
          <a:lstStyle/>
          <a:p>
            <a:pPr algn="ctr" rtl="0"/>
            <a:r>
              <a:rPr lang="ru-RU" sz="16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Деревянный сухой строганый брусок</a:t>
            </a:r>
          </a:p>
          <a:p>
            <a:pPr rtl="0"/>
            <a:r>
              <a:rPr lang="ru-RU" sz="11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Применяется:</a:t>
            </a:r>
          </a:p>
          <a:p>
            <a:pPr rtl="0"/>
            <a:r>
              <a:rPr lang="ru-RU" sz="11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-для обрешетки под сайдинг и др. фасадные материалы</a:t>
            </a:r>
          </a:p>
          <a:p>
            <a:pPr rtl="0"/>
            <a:r>
              <a:rPr lang="ru-RU" sz="11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- для обрешетки под композитную черепицу</a:t>
            </a:r>
          </a:p>
          <a:p>
            <a:pPr rtl="0"/>
            <a:r>
              <a:rPr lang="ru-RU" sz="11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- для контробрешетки под мч и мягкую кровлю</a:t>
            </a:r>
          </a:p>
          <a:p>
            <a:pPr rtl="0"/>
            <a:r>
              <a:rPr lang="ru-RU" sz="11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- для других-стоительно монтажных работ</a:t>
            </a:r>
            <a:endParaRPr lang="en-US" sz="1100" b="1" i="0" u="none" strike="noStrike" baseline="0">
              <a:solidFill>
                <a:sysClr val="windowText" lastClr="000000"/>
              </a:solidFill>
              <a:latin typeface="Arial" pitchFamily="34" charset="0"/>
              <a:cs typeface="Arial" pitchFamily="34" charset="0"/>
            </a:endParaRPr>
          </a:p>
          <a:p>
            <a:pPr rtl="0"/>
            <a:r>
              <a:rPr lang="ru-RU" sz="1100" b="1" i="0" u="none" strike="noStrike" baseline="0">
                <a:solidFill>
                  <a:sysClr val="windowText" lastClr="000000"/>
                </a:solidFill>
                <a:latin typeface="Arial" pitchFamily="34" charset="0"/>
                <a:ea typeface="+mn-ea"/>
                <a:cs typeface="Arial" pitchFamily="34" charset="0"/>
              </a:rPr>
              <a:t>Размеры: ширина 50мм, высота 40мм, длина 3000 мм</a:t>
            </a:r>
            <a:endParaRPr lang="ru-RU" sz="1100" b="1" i="0" u="none" strike="noStrike" baseline="0">
              <a:solidFill>
                <a:sysClr val="windowText" lastClr="000000"/>
              </a:solidFill>
              <a:latin typeface="Arial" pitchFamily="34" charset="0"/>
              <a:cs typeface="Arial" pitchFamily="34" charset="0"/>
            </a:endParaRPr>
          </a:p>
          <a:p>
            <a:pPr rtl="0"/>
            <a:r>
              <a:rPr lang="ru-RU" sz="11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                                    </a:t>
            </a:r>
            <a:r>
              <a:rPr lang="ru-RU" sz="1400" b="1" i="0" u="none" strike="noStrike" baseline="0">
                <a:solidFill>
                  <a:srgbClr val="FF0000"/>
                </a:solidFill>
                <a:latin typeface="Arial" pitchFamily="34" charset="0"/>
                <a:cs typeface="Arial" pitchFamily="34" charset="0"/>
              </a:rPr>
              <a:t>Цена - 150 рублей за штуку</a:t>
            </a:r>
          </a:p>
          <a:p>
            <a:pPr rtl="0"/>
            <a:endParaRPr lang="ru-RU" sz="1100" b="1" i="0" u="none" strike="noStrike" baseline="0">
              <a:solidFill>
                <a:sysClr val="windowText" lastClr="000000"/>
              </a:solidFill>
              <a:latin typeface="Arial" pitchFamily="34" charset="0"/>
              <a:cs typeface="Arial" pitchFamily="34" charset="0"/>
            </a:endParaRPr>
          </a:p>
          <a:p>
            <a:pPr algn="ctr" rtl="0"/>
            <a:r>
              <a:rPr lang="en-US" sz="16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OSB-3</a:t>
            </a:r>
            <a:r>
              <a:rPr lang="ru-RU" sz="16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 плита</a:t>
            </a:r>
          </a:p>
          <a:p>
            <a:pPr rtl="0"/>
            <a:r>
              <a:rPr lang="ru-RU" sz="1100" b="1" i="0" u="none" strike="noStrike" baseline="0">
                <a:solidFill>
                  <a:sysClr val="windowText" lastClr="000000"/>
                </a:solidFill>
                <a:latin typeface="Arial" pitchFamily="34" charset="0"/>
                <a:cs typeface="Arial" pitchFamily="34" charset="0"/>
              </a:rPr>
              <a:t>Применяется для обустройства сплошного основания кровли</a:t>
            </a:r>
            <a:endParaRPr lang="en-US" sz="1100" b="1" i="0" u="none" strike="noStrike" baseline="0">
              <a:solidFill>
                <a:sysClr val="windowText" lastClr="000000"/>
              </a:solidFill>
              <a:latin typeface="Arial" pitchFamily="34" charset="0"/>
              <a:cs typeface="Arial" pitchFamily="34" charset="0"/>
            </a:endParaRPr>
          </a:p>
          <a:p>
            <a:pPr rtl="0"/>
            <a:r>
              <a:rPr lang="ru-RU" sz="1100" b="1" i="0" u="none" strike="noStrike" baseline="0">
                <a:solidFill>
                  <a:sysClr val="windowText" lastClr="000000"/>
                </a:solidFill>
                <a:latin typeface="Arial" pitchFamily="34" charset="0"/>
                <a:ea typeface="+mn-ea"/>
                <a:cs typeface="Arial" pitchFamily="34" charset="0"/>
              </a:rPr>
              <a:t>Размеры: ширина 1,25м, длина 2,5м, толщина 9 мм</a:t>
            </a:r>
            <a:r>
              <a:rPr lang="ru-RU"/>
              <a:t/>
            </a:r>
            <a:br>
              <a:rPr lang="ru-RU"/>
            </a:br>
            <a:endParaRPr lang="ru-RU" sz="1100" b="1" i="0" u="none" strike="noStrike" baseline="0">
              <a:solidFill>
                <a:sysClr val="windowText" lastClr="000000"/>
              </a:solidFill>
              <a:latin typeface="Arial" pitchFamily="34" charset="0"/>
              <a:cs typeface="Arial" pitchFamily="34" charset="0"/>
            </a:endParaRPr>
          </a:p>
          <a:p>
            <a:pPr algn="ctr" rtl="0"/>
            <a:r>
              <a:rPr lang="ru-RU" sz="1400" b="1" i="0" u="none" strike="noStrike" baseline="0">
                <a:solidFill>
                  <a:srgbClr val="FF0000"/>
                </a:solidFill>
                <a:latin typeface="Arial" pitchFamily="34" charset="0"/>
                <a:ea typeface="+mn-ea"/>
                <a:cs typeface="Arial" pitchFamily="34" charset="0"/>
              </a:rPr>
              <a:t>Цена - 535 рублей за штуку</a:t>
            </a:r>
          </a:p>
          <a:p>
            <a:pPr rtl="0"/>
            <a:endParaRPr lang="ru-RU" sz="1100" b="1" i="0" u="none" strike="noStrike" baseline="0">
              <a:solidFill>
                <a:sysClr val="windowText" lastClr="000000"/>
              </a:solidFill>
              <a:latin typeface="Arial" pitchFamily="34" charset="0"/>
              <a:cs typeface="Arial" pitchFamily="34" charset="0"/>
            </a:endParaRPr>
          </a:p>
        </xdr:txBody>
      </xdr:sp>
      <xdr:sp macro="" textlink="">
        <xdr:nvSpPr>
          <xdr:cNvPr id="9" name="TextBox 8"/>
          <xdr:cNvSpPr txBox="1">
            <a:spLocks noChangeArrowheads="1"/>
          </xdr:cNvSpPr>
        </xdr:nvSpPr>
        <xdr:spPr bwMode="auto">
          <a:xfrm>
            <a:off x="13149135" y="2002094"/>
            <a:ext cx="3955662" cy="552885"/>
          </a:xfrm>
          <a:prstGeom prst="rect">
            <a:avLst/>
          </a:prstGeom>
          <a:solidFill>
            <a:schemeClr val="accent2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1400" b="1" baseline="0" smtClean="0">
                <a:latin typeface="Arial" pitchFamily="34" charset="0"/>
                <a:ea typeface="+mn-ea"/>
                <a:cs typeface="Arial" pitchFamily="34" charset="0"/>
              </a:rPr>
              <a:t>НОВИНКИ </a:t>
            </a:r>
            <a:endParaRPr lang="en-US" sz="1400" b="1" i="0" u="none" strike="noStrike" baseline="0">
              <a:solidFill>
                <a:schemeClr val="tx1"/>
              </a:solidFill>
              <a:latin typeface="Arial" pitchFamily="34" charset="0"/>
              <a:cs typeface="Arial" pitchFamily="34" charset="0"/>
            </a:endParaRPr>
          </a:p>
        </xdr:txBody>
      </xdr:sp>
    </xdr:grpSp>
    <xdr:clientData/>
  </xdr:twoCellAnchor>
  <xdr:twoCellAnchor editAs="oneCell">
    <xdr:from>
      <xdr:col>11</xdr:col>
      <xdr:colOff>0</xdr:colOff>
      <xdr:row>4</xdr:row>
      <xdr:rowOff>114301</xdr:rowOff>
    </xdr:from>
    <xdr:to>
      <xdr:col>13</xdr:col>
      <xdr:colOff>19050</xdr:colOff>
      <xdr:row>11</xdr:row>
      <xdr:rowOff>30105</xdr:rowOff>
    </xdr:to>
    <xdr:pic>
      <xdr:nvPicPr>
        <xdr:cNvPr id="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9115425" y="981076"/>
          <a:ext cx="1238250" cy="1115954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466726</xdr:colOff>
      <xdr:row>14</xdr:row>
      <xdr:rowOff>0</xdr:rowOff>
    </xdr:from>
    <xdr:to>
      <xdr:col>13</xdr:col>
      <xdr:colOff>19050</xdr:colOff>
      <xdr:row>19</xdr:row>
      <xdr:rowOff>118832</xdr:rowOff>
    </xdr:to>
    <xdr:pic>
      <xdr:nvPicPr>
        <xdr:cNvPr id="307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8972551" y="2581275"/>
          <a:ext cx="1381124" cy="976082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19050</xdr:colOff>
      <xdr:row>14</xdr:row>
      <xdr:rowOff>66675</xdr:rowOff>
    </xdr:from>
    <xdr:to>
      <xdr:col>5</xdr:col>
      <xdr:colOff>398585</xdr:colOff>
      <xdr:row>19</xdr:row>
      <xdr:rowOff>161925</xdr:rowOff>
    </xdr:to>
    <xdr:pic>
      <xdr:nvPicPr>
        <xdr:cNvPr id="307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5162550" y="2647950"/>
          <a:ext cx="989135" cy="9525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1162050</xdr:colOff>
      <xdr:row>0</xdr:row>
      <xdr:rowOff>0</xdr:rowOff>
    </xdr:from>
    <xdr:to>
      <xdr:col>6</xdr:col>
      <xdr:colOff>477783</xdr:colOff>
      <xdr:row>0</xdr:row>
      <xdr:rowOff>1078994</xdr:rowOff>
    </xdr:to>
    <xdr:pic>
      <xdr:nvPicPr>
        <xdr:cNvPr id="9" name="Рисунок 8" descr="0db6de360188de2c16752200f147ebd5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2050" y="0"/>
          <a:ext cx="4535433" cy="107899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23809</xdr:rowOff>
    </xdr:from>
    <xdr:to>
      <xdr:col>2</xdr:col>
      <xdr:colOff>809626</xdr:colOff>
      <xdr:row>6</xdr:row>
      <xdr:rowOff>101490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" y="23809"/>
          <a:ext cx="10191750" cy="2220806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</xdr:col>
      <xdr:colOff>642960</xdr:colOff>
      <xdr:row>6</xdr:row>
      <xdr:rowOff>47758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0387035" cy="2238508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19050</xdr:rowOff>
    </xdr:from>
    <xdr:to>
      <xdr:col>2</xdr:col>
      <xdr:colOff>1485900</xdr:colOff>
      <xdr:row>4</xdr:row>
      <xdr:rowOff>76200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9050"/>
          <a:ext cx="6696075" cy="1781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1556657</xdr:colOff>
      <xdr:row>30</xdr:row>
      <xdr:rowOff>20411</xdr:rowOff>
    </xdr:from>
    <xdr:to>
      <xdr:col>13</xdr:col>
      <xdr:colOff>0</xdr:colOff>
      <xdr:row>35</xdr:row>
      <xdr:rowOff>669</xdr:rowOff>
    </xdr:to>
    <xdr:pic>
      <xdr:nvPicPr>
        <xdr:cNvPr id="3" name="Рисунок 2" descr="\\alpha\Personal$\Удовенко_О\07_Queentile\Цены\табл в прайс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6915720" y="13998349"/>
          <a:ext cx="2824843" cy="1218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219075</xdr:colOff>
      <xdr:row>8</xdr:row>
      <xdr:rowOff>47625</xdr:rowOff>
    </xdr:from>
    <xdr:to>
      <xdr:col>0</xdr:col>
      <xdr:colOff>2200275</xdr:colOff>
      <xdr:row>10</xdr:row>
      <xdr:rowOff>76200</xdr:rowOff>
    </xdr:to>
    <xdr:pic>
      <xdr:nvPicPr>
        <xdr:cNvPr id="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19075" y="2847975"/>
          <a:ext cx="198120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371475</xdr:colOff>
      <xdr:row>11</xdr:row>
      <xdr:rowOff>9525</xdr:rowOff>
    </xdr:from>
    <xdr:to>
      <xdr:col>0</xdr:col>
      <xdr:colOff>2019300</xdr:colOff>
      <xdr:row>13</xdr:row>
      <xdr:rowOff>133350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71475" y="3857625"/>
          <a:ext cx="1647825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333375</xdr:colOff>
      <xdr:row>14</xdr:row>
      <xdr:rowOff>28575</xdr:rowOff>
    </xdr:from>
    <xdr:to>
      <xdr:col>0</xdr:col>
      <xdr:colOff>1876425</xdr:colOff>
      <xdr:row>16</xdr:row>
      <xdr:rowOff>228600</xdr:rowOff>
    </xdr:to>
    <xdr:pic>
      <xdr:nvPicPr>
        <xdr:cNvPr id="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33375" y="4838700"/>
          <a:ext cx="1543050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314325</xdr:colOff>
      <xdr:row>17</xdr:row>
      <xdr:rowOff>104775</xdr:rowOff>
    </xdr:from>
    <xdr:to>
      <xdr:col>0</xdr:col>
      <xdr:colOff>1943100</xdr:colOff>
      <xdr:row>17</xdr:row>
      <xdr:rowOff>809625</xdr:rowOff>
    </xdr:to>
    <xdr:pic>
      <xdr:nvPicPr>
        <xdr:cNvPr id="7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314325" y="5962650"/>
          <a:ext cx="16287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18</xdr:row>
      <xdr:rowOff>19050</xdr:rowOff>
    </xdr:from>
    <xdr:to>
      <xdr:col>0</xdr:col>
      <xdr:colOff>2276475</xdr:colOff>
      <xdr:row>19</xdr:row>
      <xdr:rowOff>428625</xdr:rowOff>
    </xdr:to>
    <xdr:pic>
      <xdr:nvPicPr>
        <xdr:cNvPr id="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6800850"/>
          <a:ext cx="2276475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20</xdr:row>
      <xdr:rowOff>38100</xdr:rowOff>
    </xdr:from>
    <xdr:to>
      <xdr:col>0</xdr:col>
      <xdr:colOff>2381250</xdr:colOff>
      <xdr:row>21</xdr:row>
      <xdr:rowOff>381000</xdr:rowOff>
    </xdr:to>
    <xdr:pic>
      <xdr:nvPicPr>
        <xdr:cNvPr id="9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8100" y="7791450"/>
          <a:ext cx="2343150" cy="90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22</xdr:row>
      <xdr:rowOff>85725</xdr:rowOff>
    </xdr:from>
    <xdr:to>
      <xdr:col>0</xdr:col>
      <xdr:colOff>2371725</xdr:colOff>
      <xdr:row>23</xdr:row>
      <xdr:rowOff>438150</xdr:rowOff>
    </xdr:to>
    <xdr:pic>
      <xdr:nvPicPr>
        <xdr:cNvPr id="10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57150" y="8839200"/>
          <a:ext cx="2314575" cy="89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</xdr:colOff>
      <xdr:row>24</xdr:row>
      <xdr:rowOff>38100</xdr:rowOff>
    </xdr:from>
    <xdr:to>
      <xdr:col>0</xdr:col>
      <xdr:colOff>2343150</xdr:colOff>
      <xdr:row>24</xdr:row>
      <xdr:rowOff>981075</xdr:rowOff>
    </xdr:to>
    <xdr:pic>
      <xdr:nvPicPr>
        <xdr:cNvPr id="11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9525" y="9839325"/>
          <a:ext cx="2333625" cy="942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25</xdr:row>
      <xdr:rowOff>28575</xdr:rowOff>
    </xdr:from>
    <xdr:to>
      <xdr:col>0</xdr:col>
      <xdr:colOff>2314575</xdr:colOff>
      <xdr:row>25</xdr:row>
      <xdr:rowOff>904875</xdr:rowOff>
    </xdr:to>
    <xdr:pic>
      <xdr:nvPicPr>
        <xdr:cNvPr id="1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8575" y="10868025"/>
          <a:ext cx="2286000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104775</xdr:colOff>
      <xdr:row>26</xdr:row>
      <xdr:rowOff>95250</xdr:rowOff>
    </xdr:from>
    <xdr:to>
      <xdr:col>0</xdr:col>
      <xdr:colOff>2266950</xdr:colOff>
      <xdr:row>26</xdr:row>
      <xdr:rowOff>762000</xdr:rowOff>
    </xdr:to>
    <xdr:pic>
      <xdr:nvPicPr>
        <xdr:cNvPr id="13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04775" y="11887200"/>
          <a:ext cx="21621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27</xdr:row>
      <xdr:rowOff>66675</xdr:rowOff>
    </xdr:from>
    <xdr:to>
      <xdr:col>0</xdr:col>
      <xdr:colOff>2343150</xdr:colOff>
      <xdr:row>28</xdr:row>
      <xdr:rowOff>381000</xdr:rowOff>
    </xdr:to>
    <xdr:pic>
      <xdr:nvPicPr>
        <xdr:cNvPr id="14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6675" y="12687300"/>
          <a:ext cx="227647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85725</xdr:colOff>
      <xdr:row>8</xdr:row>
      <xdr:rowOff>38100</xdr:rowOff>
    </xdr:from>
    <xdr:to>
      <xdr:col>7</xdr:col>
      <xdr:colOff>2476500</xdr:colOff>
      <xdr:row>10</xdr:row>
      <xdr:rowOff>95250</xdr:rowOff>
    </xdr:to>
    <xdr:pic>
      <xdr:nvPicPr>
        <xdr:cNvPr id="1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0182225" y="2838450"/>
          <a:ext cx="2390775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57150</xdr:colOff>
      <xdr:row>11</xdr:row>
      <xdr:rowOff>28575</xdr:rowOff>
    </xdr:from>
    <xdr:to>
      <xdr:col>7</xdr:col>
      <xdr:colOff>2486025</xdr:colOff>
      <xdr:row>13</xdr:row>
      <xdr:rowOff>104775</xdr:rowOff>
    </xdr:to>
    <xdr:pic>
      <xdr:nvPicPr>
        <xdr:cNvPr id="16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0153650" y="3876675"/>
          <a:ext cx="24288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161925</xdr:colOff>
      <xdr:row>14</xdr:row>
      <xdr:rowOff>95250</xdr:rowOff>
    </xdr:from>
    <xdr:to>
      <xdr:col>7</xdr:col>
      <xdr:colOff>2276475</xdr:colOff>
      <xdr:row>16</xdr:row>
      <xdr:rowOff>142875</xdr:rowOff>
    </xdr:to>
    <xdr:pic>
      <xdr:nvPicPr>
        <xdr:cNvPr id="17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0258425" y="4905375"/>
          <a:ext cx="21145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95250</xdr:colOff>
      <xdr:row>17</xdr:row>
      <xdr:rowOff>57150</xdr:rowOff>
    </xdr:from>
    <xdr:to>
      <xdr:col>7</xdr:col>
      <xdr:colOff>2314575</xdr:colOff>
      <xdr:row>17</xdr:row>
      <xdr:rowOff>857250</xdr:rowOff>
    </xdr:to>
    <xdr:pic>
      <xdr:nvPicPr>
        <xdr:cNvPr id="1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0191750" y="5915025"/>
          <a:ext cx="221932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161925</xdr:colOff>
      <xdr:row>18</xdr:row>
      <xdr:rowOff>66675</xdr:rowOff>
    </xdr:from>
    <xdr:to>
      <xdr:col>7</xdr:col>
      <xdr:colOff>2371725</xdr:colOff>
      <xdr:row>19</xdr:row>
      <xdr:rowOff>361950</xdr:rowOff>
    </xdr:to>
    <xdr:pic>
      <xdr:nvPicPr>
        <xdr:cNvPr id="19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258425" y="6848475"/>
          <a:ext cx="220980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812346</xdr:colOff>
      <xdr:row>20</xdr:row>
      <xdr:rowOff>111579</xdr:rowOff>
    </xdr:from>
    <xdr:to>
      <xdr:col>7</xdr:col>
      <xdr:colOff>1802946</xdr:colOff>
      <xdr:row>21</xdr:row>
      <xdr:rowOff>336096</xdr:rowOff>
    </xdr:to>
    <xdr:pic>
      <xdr:nvPicPr>
        <xdr:cNvPr id="20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908846" y="7864929"/>
          <a:ext cx="990600" cy="7864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323850</xdr:colOff>
      <xdr:row>22</xdr:row>
      <xdr:rowOff>38100</xdr:rowOff>
    </xdr:from>
    <xdr:to>
      <xdr:col>7</xdr:col>
      <xdr:colOff>2095500</xdr:colOff>
      <xdr:row>23</xdr:row>
      <xdr:rowOff>457200</xdr:rowOff>
    </xdr:to>
    <xdr:pic>
      <xdr:nvPicPr>
        <xdr:cNvPr id="2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420350" y="8791575"/>
          <a:ext cx="1771650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133350</xdr:colOff>
      <xdr:row>24</xdr:row>
      <xdr:rowOff>123825</xdr:rowOff>
    </xdr:from>
    <xdr:to>
      <xdr:col>7</xdr:col>
      <xdr:colOff>2419350</xdr:colOff>
      <xdr:row>25</xdr:row>
      <xdr:rowOff>828675</xdr:rowOff>
    </xdr:to>
    <xdr:pic>
      <xdr:nvPicPr>
        <xdr:cNvPr id="22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229850" y="9925050"/>
          <a:ext cx="2286000" cy="1743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200025</xdr:colOff>
      <xdr:row>26</xdr:row>
      <xdr:rowOff>133350</xdr:rowOff>
    </xdr:from>
    <xdr:to>
      <xdr:col>7</xdr:col>
      <xdr:colOff>2219325</xdr:colOff>
      <xdr:row>28</xdr:row>
      <xdr:rowOff>142875</xdr:rowOff>
    </xdr:to>
    <xdr:pic>
      <xdr:nvPicPr>
        <xdr:cNvPr id="23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0296525" y="11925300"/>
          <a:ext cx="20193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1047751</xdr:colOff>
      <xdr:row>29</xdr:row>
      <xdr:rowOff>27214</xdr:rowOff>
    </xdr:from>
    <xdr:to>
      <xdr:col>7</xdr:col>
      <xdr:colOff>1496786</xdr:colOff>
      <xdr:row>29</xdr:row>
      <xdr:rowOff>431900</xdr:rowOff>
    </xdr:to>
    <xdr:pic>
      <xdr:nvPicPr>
        <xdr:cNvPr id="2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1144251" y="13552714"/>
          <a:ext cx="449035" cy="404686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19050</xdr:rowOff>
    </xdr:from>
    <xdr:to>
      <xdr:col>2</xdr:col>
      <xdr:colOff>406304</xdr:colOff>
      <xdr:row>4</xdr:row>
      <xdr:rowOff>77011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9050"/>
          <a:ext cx="6702329" cy="1781986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424089</xdr:colOff>
      <xdr:row>39</xdr:row>
      <xdr:rowOff>79374</xdr:rowOff>
    </xdr:from>
    <xdr:to>
      <xdr:col>13</xdr:col>
      <xdr:colOff>1111250</xdr:colOff>
      <xdr:row>47</xdr:row>
      <xdr:rowOff>124278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7854839" y="16435160"/>
          <a:ext cx="2524125" cy="15280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269875</xdr:colOff>
      <xdr:row>8</xdr:row>
      <xdr:rowOff>95250</xdr:rowOff>
    </xdr:from>
    <xdr:to>
      <xdr:col>0</xdr:col>
      <xdr:colOff>2584450</xdr:colOff>
      <xdr:row>12</xdr:row>
      <xdr:rowOff>139700</xdr:rowOff>
    </xdr:to>
    <xdr:pic>
      <xdr:nvPicPr>
        <xdr:cNvPr id="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69875" y="2936875"/>
          <a:ext cx="2314575" cy="981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222250</xdr:colOff>
      <xdr:row>12</xdr:row>
      <xdr:rowOff>206375</xdr:rowOff>
    </xdr:from>
    <xdr:to>
      <xdr:col>0</xdr:col>
      <xdr:colOff>2593975</xdr:colOff>
      <xdr:row>15</xdr:row>
      <xdr:rowOff>127000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22250" y="3984625"/>
          <a:ext cx="2371725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158750</xdr:colOff>
      <xdr:row>15</xdr:row>
      <xdr:rowOff>349250</xdr:rowOff>
    </xdr:from>
    <xdr:to>
      <xdr:col>0</xdr:col>
      <xdr:colOff>2606675</xdr:colOff>
      <xdr:row>17</xdr:row>
      <xdr:rowOff>333375</xdr:rowOff>
    </xdr:to>
    <xdr:pic>
      <xdr:nvPicPr>
        <xdr:cNvPr id="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58750" y="5111750"/>
          <a:ext cx="2447925" cy="809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222250</xdr:colOff>
      <xdr:row>19</xdr:row>
      <xdr:rowOff>31750</xdr:rowOff>
    </xdr:from>
    <xdr:to>
      <xdr:col>0</xdr:col>
      <xdr:colOff>1612900</xdr:colOff>
      <xdr:row>19</xdr:row>
      <xdr:rowOff>688975</xdr:rowOff>
    </xdr:to>
    <xdr:pic>
      <xdr:nvPicPr>
        <xdr:cNvPr id="7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222250" y="6042025"/>
          <a:ext cx="1390650" cy="6572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63500</xdr:colOff>
      <xdr:row>20</xdr:row>
      <xdr:rowOff>31750</xdr:rowOff>
    </xdr:from>
    <xdr:to>
      <xdr:col>0</xdr:col>
      <xdr:colOff>2406650</xdr:colOff>
      <xdr:row>21</xdr:row>
      <xdr:rowOff>434975</xdr:rowOff>
    </xdr:to>
    <xdr:pic>
      <xdr:nvPicPr>
        <xdr:cNvPr id="8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3500" y="6756400"/>
          <a:ext cx="2343150" cy="946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31750</xdr:colOff>
      <xdr:row>22</xdr:row>
      <xdr:rowOff>238125</xdr:rowOff>
    </xdr:from>
    <xdr:to>
      <xdr:col>0</xdr:col>
      <xdr:colOff>2327275</xdr:colOff>
      <xdr:row>24</xdr:row>
      <xdr:rowOff>69850</xdr:rowOff>
    </xdr:to>
    <xdr:pic>
      <xdr:nvPicPr>
        <xdr:cNvPr id="9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1750" y="8001000"/>
          <a:ext cx="2295525" cy="6699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206375</xdr:colOff>
      <xdr:row>25</xdr:row>
      <xdr:rowOff>174625</xdr:rowOff>
    </xdr:from>
    <xdr:to>
      <xdr:col>0</xdr:col>
      <xdr:colOff>2511425</xdr:colOff>
      <xdr:row>28</xdr:row>
      <xdr:rowOff>228600</xdr:rowOff>
    </xdr:to>
    <xdr:pic>
      <xdr:nvPicPr>
        <xdr:cNvPr id="1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06375" y="9175750"/>
          <a:ext cx="2305050" cy="1358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238125</xdr:colOff>
      <xdr:row>29</xdr:row>
      <xdr:rowOff>95250</xdr:rowOff>
    </xdr:from>
    <xdr:to>
      <xdr:col>0</xdr:col>
      <xdr:colOff>2076450</xdr:colOff>
      <xdr:row>30</xdr:row>
      <xdr:rowOff>419100</xdr:rowOff>
    </xdr:to>
    <xdr:pic>
      <xdr:nvPicPr>
        <xdr:cNvPr id="11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38125" y="10763250"/>
          <a:ext cx="1838325" cy="790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31</xdr:row>
      <xdr:rowOff>47624</xdr:rowOff>
    </xdr:from>
    <xdr:to>
      <xdr:col>0</xdr:col>
      <xdr:colOff>2724150</xdr:colOff>
      <xdr:row>33</xdr:row>
      <xdr:rowOff>704849</xdr:rowOff>
    </xdr:to>
    <xdr:pic>
      <xdr:nvPicPr>
        <xdr:cNvPr id="12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95250" y="11639549"/>
          <a:ext cx="2628900" cy="1647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71437</xdr:rowOff>
    </xdr:from>
    <xdr:to>
      <xdr:col>0</xdr:col>
      <xdr:colOff>2562225</xdr:colOff>
      <xdr:row>37</xdr:row>
      <xdr:rowOff>266700</xdr:rowOff>
    </xdr:to>
    <xdr:pic>
      <xdr:nvPicPr>
        <xdr:cNvPr id="1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3425487"/>
          <a:ext cx="2562225" cy="1843088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142875</xdr:colOff>
      <xdr:row>8</xdr:row>
      <xdr:rowOff>71438</xdr:rowOff>
    </xdr:from>
    <xdr:to>
      <xdr:col>9</xdr:col>
      <xdr:colOff>3175</xdr:colOff>
      <xdr:row>13</xdr:row>
      <xdr:rowOff>304800</xdr:rowOff>
    </xdr:to>
    <xdr:pic>
      <xdr:nvPicPr>
        <xdr:cNvPr id="14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0420350" y="2900363"/>
          <a:ext cx="2590800" cy="140493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47624</xdr:colOff>
      <xdr:row>14</xdr:row>
      <xdr:rowOff>23812</xdr:rowOff>
    </xdr:from>
    <xdr:to>
      <xdr:col>8</xdr:col>
      <xdr:colOff>2657474</xdr:colOff>
      <xdr:row>17</xdr:row>
      <xdr:rowOff>361950</xdr:rowOff>
    </xdr:to>
    <xdr:pic>
      <xdr:nvPicPr>
        <xdr:cNvPr id="15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0325099" y="4348162"/>
          <a:ext cx="2609850" cy="1595438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119062</xdr:colOff>
      <xdr:row>19</xdr:row>
      <xdr:rowOff>119062</xdr:rowOff>
    </xdr:from>
    <xdr:to>
      <xdr:col>8</xdr:col>
      <xdr:colOff>2728912</xdr:colOff>
      <xdr:row>21</xdr:row>
      <xdr:rowOff>457199</xdr:rowOff>
    </xdr:to>
    <xdr:pic>
      <xdr:nvPicPr>
        <xdr:cNvPr id="16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0396537" y="6129337"/>
          <a:ext cx="2609850" cy="159543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71437</xdr:colOff>
      <xdr:row>22</xdr:row>
      <xdr:rowOff>333375</xdr:rowOff>
    </xdr:from>
    <xdr:to>
      <xdr:col>8</xdr:col>
      <xdr:colOff>2595562</xdr:colOff>
      <xdr:row>25</xdr:row>
      <xdr:rowOff>176212</xdr:rowOff>
    </xdr:to>
    <xdr:pic>
      <xdr:nvPicPr>
        <xdr:cNvPr id="17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0348912" y="8096250"/>
          <a:ext cx="2524125" cy="108108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95248</xdr:colOff>
      <xdr:row>26</xdr:row>
      <xdr:rowOff>71435</xdr:rowOff>
    </xdr:from>
    <xdr:to>
      <xdr:col>8</xdr:col>
      <xdr:colOff>2724148</xdr:colOff>
      <xdr:row>28</xdr:row>
      <xdr:rowOff>300035</xdr:rowOff>
    </xdr:to>
    <xdr:pic>
      <xdr:nvPicPr>
        <xdr:cNvPr id="18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0372723" y="9510710"/>
          <a:ext cx="2628900" cy="109537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71438</xdr:colOff>
      <xdr:row>29</xdr:row>
      <xdr:rowOff>71437</xdr:rowOff>
    </xdr:from>
    <xdr:to>
      <xdr:col>8</xdr:col>
      <xdr:colOff>2690813</xdr:colOff>
      <xdr:row>30</xdr:row>
      <xdr:rowOff>385762</xdr:rowOff>
    </xdr:to>
    <xdr:pic>
      <xdr:nvPicPr>
        <xdr:cNvPr id="19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348913" y="10739437"/>
          <a:ext cx="2619375" cy="78105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690562</xdr:colOff>
      <xdr:row>31</xdr:row>
      <xdr:rowOff>166687</xdr:rowOff>
    </xdr:from>
    <xdr:to>
      <xdr:col>8</xdr:col>
      <xdr:colOff>2090737</xdr:colOff>
      <xdr:row>32</xdr:row>
      <xdr:rowOff>252412</xdr:rowOff>
    </xdr:to>
    <xdr:pic>
      <xdr:nvPicPr>
        <xdr:cNvPr id="20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968037" y="11758612"/>
          <a:ext cx="1400175" cy="6572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69272</xdr:colOff>
      <xdr:row>33</xdr:row>
      <xdr:rowOff>86593</xdr:rowOff>
    </xdr:from>
    <xdr:to>
      <xdr:col>8</xdr:col>
      <xdr:colOff>2619375</xdr:colOff>
      <xdr:row>34</xdr:row>
      <xdr:rowOff>716824</xdr:rowOff>
    </xdr:to>
    <xdr:pic>
      <xdr:nvPicPr>
        <xdr:cNvPr id="21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356272" y="13088218"/>
          <a:ext cx="2550103" cy="1408106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86589</xdr:colOff>
      <xdr:row>35</xdr:row>
      <xdr:rowOff>69274</xdr:rowOff>
    </xdr:from>
    <xdr:to>
      <xdr:col>8</xdr:col>
      <xdr:colOff>2620239</xdr:colOff>
      <xdr:row>37</xdr:row>
      <xdr:rowOff>225137</xdr:rowOff>
    </xdr:to>
    <xdr:pic>
      <xdr:nvPicPr>
        <xdr:cNvPr id="22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364064" y="14271049"/>
          <a:ext cx="2533650" cy="95596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1047751</xdr:colOff>
      <xdr:row>38</xdr:row>
      <xdr:rowOff>27214</xdr:rowOff>
    </xdr:from>
    <xdr:to>
      <xdr:col>8</xdr:col>
      <xdr:colOff>1496786</xdr:colOff>
      <xdr:row>38</xdr:row>
      <xdr:rowOff>431900</xdr:rowOff>
    </xdr:to>
    <xdr:pic>
      <xdr:nvPicPr>
        <xdr:cNvPr id="2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1144251" y="13552714"/>
          <a:ext cx="449035" cy="404686"/>
        </a:xfrm>
        <a:prstGeom prst="rect">
          <a:avLst/>
        </a:prstGeom>
        <a:noFill/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396863</xdr:colOff>
      <xdr:row>22</xdr:row>
      <xdr:rowOff>47613</xdr:rowOff>
    </xdr:from>
    <xdr:to>
      <xdr:col>7</xdr:col>
      <xdr:colOff>1625207</xdr:colOff>
      <xdr:row>25</xdr:row>
      <xdr:rowOff>212332</xdr:rowOff>
    </xdr:to>
    <xdr:pic>
      <xdr:nvPicPr>
        <xdr:cNvPr id="2" name="Рисунок 1" descr="ПОРОЛОНОВАЯ ПОЛОСА.jpg"/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10483838" y="9077313"/>
          <a:ext cx="1228344" cy="1231519"/>
        </a:xfrm>
        <a:prstGeom prst="rect">
          <a:avLst/>
        </a:prstGeom>
      </xdr:spPr>
    </xdr:pic>
    <xdr:clientData/>
  </xdr:twoCellAnchor>
  <xdr:twoCellAnchor editAs="oneCell">
    <xdr:from>
      <xdr:col>0</xdr:col>
      <xdr:colOff>1411148</xdr:colOff>
      <xdr:row>20</xdr:row>
      <xdr:rowOff>127475</xdr:rowOff>
    </xdr:from>
    <xdr:to>
      <xdr:col>0</xdr:col>
      <xdr:colOff>2520987</xdr:colOff>
      <xdr:row>22</xdr:row>
      <xdr:rowOff>284781</xdr:rowOff>
    </xdr:to>
    <xdr:pic>
      <xdr:nvPicPr>
        <xdr:cNvPr id="3" name="Рисунок 2" descr="ПЛАНКА КАРНИЗНАЯ.jpg"/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411148" y="8309450"/>
          <a:ext cx="1109839" cy="1005031"/>
        </a:xfrm>
        <a:prstGeom prst="rect">
          <a:avLst/>
        </a:prstGeom>
      </xdr:spPr>
    </xdr:pic>
    <xdr:clientData/>
  </xdr:twoCellAnchor>
  <xdr:twoCellAnchor editAs="oneCell">
    <xdr:from>
      <xdr:col>0</xdr:col>
      <xdr:colOff>1460500</xdr:colOff>
      <xdr:row>13</xdr:row>
      <xdr:rowOff>222250</xdr:rowOff>
    </xdr:from>
    <xdr:to>
      <xdr:col>0</xdr:col>
      <xdr:colOff>2433090</xdr:colOff>
      <xdr:row>16</xdr:row>
      <xdr:rowOff>241427</xdr:rowOff>
    </xdr:to>
    <xdr:pic>
      <xdr:nvPicPr>
        <xdr:cNvPr id="4" name="Рисунок 3" descr="КОНЕК ПОЛУКРУГЛЫЙ.jpg"/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1460500" y="5413375"/>
          <a:ext cx="972590" cy="981202"/>
        </a:xfrm>
        <a:prstGeom prst="rect">
          <a:avLst/>
        </a:prstGeom>
      </xdr:spPr>
    </xdr:pic>
    <xdr:clientData/>
  </xdr:twoCellAnchor>
  <xdr:twoCellAnchor editAs="oneCell">
    <xdr:from>
      <xdr:col>0</xdr:col>
      <xdr:colOff>746126</xdr:colOff>
      <xdr:row>14</xdr:row>
      <xdr:rowOff>254000</xdr:rowOff>
    </xdr:from>
    <xdr:to>
      <xdr:col>0</xdr:col>
      <xdr:colOff>1536949</xdr:colOff>
      <xdr:row>16</xdr:row>
      <xdr:rowOff>171818</xdr:rowOff>
    </xdr:to>
    <xdr:pic>
      <xdr:nvPicPr>
        <xdr:cNvPr id="5" name="Рисунок 4" descr="ЗАГЛУШКА КОНЬКА ПОЛУКРУГЛОГО.jpg"/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46126" y="5759450"/>
          <a:ext cx="790823" cy="565518"/>
        </a:xfrm>
        <a:prstGeom prst="rect">
          <a:avLst/>
        </a:prstGeom>
      </xdr:spPr>
    </xdr:pic>
    <xdr:clientData/>
  </xdr:twoCellAnchor>
  <xdr:twoCellAnchor editAs="oneCell">
    <xdr:from>
      <xdr:col>7</xdr:col>
      <xdr:colOff>833326</xdr:colOff>
      <xdr:row>27</xdr:row>
      <xdr:rowOff>147146</xdr:rowOff>
    </xdr:from>
    <xdr:to>
      <xdr:col>7</xdr:col>
      <xdr:colOff>2500358</xdr:colOff>
      <xdr:row>28</xdr:row>
      <xdr:rowOff>309124</xdr:rowOff>
    </xdr:to>
    <xdr:pic>
      <xdr:nvPicPr>
        <xdr:cNvPr id="6" name="Рисунок 5" descr="Турбо ножницы для толстой стали Malco - статика 1-1.jpg"/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10920301" y="11472371"/>
          <a:ext cx="1667032" cy="619178"/>
        </a:xfrm>
        <a:prstGeom prst="rect">
          <a:avLst/>
        </a:prstGeom>
      </xdr:spPr>
    </xdr:pic>
    <xdr:clientData/>
  </xdr:twoCellAnchor>
  <xdr:twoCellAnchor editAs="oneCell">
    <xdr:from>
      <xdr:col>7</xdr:col>
      <xdr:colOff>71081</xdr:colOff>
      <xdr:row>26</xdr:row>
      <xdr:rowOff>56867</xdr:rowOff>
    </xdr:from>
    <xdr:to>
      <xdr:col>7</xdr:col>
      <xdr:colOff>1540583</xdr:colOff>
      <xdr:row>27</xdr:row>
      <xdr:rowOff>221593</xdr:rowOff>
    </xdr:to>
    <xdr:pic>
      <xdr:nvPicPr>
        <xdr:cNvPr id="7" name="Рисунок 6" descr="Мультифункциональный резак IVT MPC-135 - копия.jpg"/>
        <xdr:cNvPicPr>
          <a:picLocks noChangeAspect="1"/>
        </xdr:cNvPicPr>
      </xdr:nvPicPr>
      <xdr:blipFill>
        <a:blip xmlns:r="http://schemas.openxmlformats.org/officeDocument/2006/relationships" r:embed="rId6" cstate="email"/>
        <a:srcRect b="7564"/>
        <a:stretch>
          <a:fillRect/>
        </a:stretch>
      </xdr:blipFill>
      <xdr:spPr>
        <a:xfrm>
          <a:off x="10158056" y="10496267"/>
          <a:ext cx="1469502" cy="1050551"/>
        </a:xfrm>
        <a:prstGeom prst="rect">
          <a:avLst/>
        </a:prstGeom>
      </xdr:spPr>
    </xdr:pic>
    <xdr:clientData/>
  </xdr:twoCellAnchor>
  <xdr:twoCellAnchor editAs="oneCell">
    <xdr:from>
      <xdr:col>7</xdr:col>
      <xdr:colOff>1101772</xdr:colOff>
      <xdr:row>30</xdr:row>
      <xdr:rowOff>60419</xdr:rowOff>
    </xdr:from>
    <xdr:to>
      <xdr:col>7</xdr:col>
      <xdr:colOff>2474771</xdr:colOff>
      <xdr:row>31</xdr:row>
      <xdr:rowOff>79644</xdr:rowOff>
    </xdr:to>
    <xdr:pic>
      <xdr:nvPicPr>
        <xdr:cNvPr id="8" name="Рисунок 7" descr="Ножницы подрезные левые-правые EDMA - статика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185" r="5309" b="6746"/>
        <a:stretch>
          <a:fillRect/>
        </a:stretch>
      </xdr:blipFill>
      <xdr:spPr>
        <a:xfrm>
          <a:off x="11188747" y="12804869"/>
          <a:ext cx="1372999" cy="5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118944</xdr:colOff>
      <xdr:row>29</xdr:row>
      <xdr:rowOff>84588</xdr:rowOff>
    </xdr:from>
    <xdr:to>
      <xdr:col>7</xdr:col>
      <xdr:colOff>1388796</xdr:colOff>
      <xdr:row>30</xdr:row>
      <xdr:rowOff>176451</xdr:rowOff>
    </xdr:to>
    <xdr:pic>
      <xdr:nvPicPr>
        <xdr:cNvPr id="9" name="Рисунок 8" descr="Клещи гибочные 45 гр 80 мм Stubai - статика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205919" y="12343263"/>
          <a:ext cx="1269852" cy="577638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2</xdr:col>
      <xdr:colOff>111125</xdr:colOff>
      <xdr:row>4</xdr:row>
      <xdr:rowOff>72683</xdr:rowOff>
    </xdr:to>
    <xdr:pic>
      <xdr:nvPicPr>
        <xdr:cNvPr id="1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" y="0"/>
          <a:ext cx="6235699" cy="153953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63485</xdr:colOff>
      <xdr:row>8</xdr:row>
      <xdr:rowOff>79360</xdr:rowOff>
    </xdr:from>
    <xdr:to>
      <xdr:col>0</xdr:col>
      <xdr:colOff>2348216</xdr:colOff>
      <xdr:row>9</xdr:row>
      <xdr:rowOff>437502</xdr:rowOff>
    </xdr:to>
    <xdr:pic>
      <xdr:nvPicPr>
        <xdr:cNvPr id="11" name="Рисунок 10" descr="classic.png"/>
        <xdr:cNvPicPr>
          <a:picLocks noChangeAspect="1"/>
        </xdr:cNvPicPr>
      </xdr:nvPicPr>
      <xdr:blipFill>
        <a:blip xmlns:r="http://schemas.openxmlformats.org/officeDocument/2006/relationships" r:embed="rId10" cstate="email"/>
        <a:srcRect l="4291" r="16935" b="10222"/>
        <a:stretch>
          <a:fillRect/>
        </a:stretch>
      </xdr:blipFill>
      <xdr:spPr>
        <a:xfrm>
          <a:off x="63485" y="2822560"/>
          <a:ext cx="2284731" cy="89154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47622</xdr:colOff>
      <xdr:row>10</xdr:row>
      <xdr:rowOff>63499</xdr:rowOff>
    </xdr:from>
    <xdr:to>
      <xdr:col>0</xdr:col>
      <xdr:colOff>2359008</xdr:colOff>
      <xdr:row>11</xdr:row>
      <xdr:rowOff>398783</xdr:rowOff>
    </xdr:to>
    <xdr:pic>
      <xdr:nvPicPr>
        <xdr:cNvPr id="12" name="Рисунок 11" descr="roman.png"/>
        <xdr:cNvPicPr>
          <a:picLocks noChangeAspect="1"/>
        </xdr:cNvPicPr>
      </xdr:nvPicPr>
      <xdr:blipFill>
        <a:blip xmlns:r="http://schemas.openxmlformats.org/officeDocument/2006/relationships" r:embed="rId11" cstate="email"/>
        <a:srcRect l="9502" r="10805" b="9333"/>
        <a:stretch>
          <a:fillRect/>
        </a:stretch>
      </xdr:blipFill>
      <xdr:spPr>
        <a:xfrm>
          <a:off x="47622" y="3863974"/>
          <a:ext cx="2311386" cy="906784"/>
        </a:xfrm>
        <a:prstGeom prst="rect">
          <a:avLst/>
        </a:prstGeom>
      </xdr:spPr>
    </xdr:pic>
    <xdr:clientData/>
  </xdr:twoCellAnchor>
  <xdr:twoCellAnchor editAs="oneCell">
    <xdr:from>
      <xdr:col>7</xdr:col>
      <xdr:colOff>111119</xdr:colOff>
      <xdr:row>8</xdr:row>
      <xdr:rowOff>95238</xdr:rowOff>
    </xdr:from>
    <xdr:to>
      <xdr:col>7</xdr:col>
      <xdr:colOff>1503674</xdr:colOff>
      <xdr:row>9</xdr:row>
      <xdr:rowOff>462011</xdr:rowOff>
    </xdr:to>
    <xdr:pic>
      <xdr:nvPicPr>
        <xdr:cNvPr id="13" name="Рисунок 12" descr="ВЕНТИЛЯТОР КРОВЕЛЬНЫЙ КЛАССИК.jpg"/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10198094" y="2838438"/>
          <a:ext cx="1392555" cy="900173"/>
        </a:xfrm>
        <a:prstGeom prst="rect">
          <a:avLst/>
        </a:prstGeom>
      </xdr:spPr>
    </xdr:pic>
    <xdr:clientData/>
  </xdr:twoCellAnchor>
  <xdr:twoCellAnchor editAs="oneCell">
    <xdr:from>
      <xdr:col>7</xdr:col>
      <xdr:colOff>888990</xdr:colOff>
      <xdr:row>10</xdr:row>
      <xdr:rowOff>47618</xdr:rowOff>
    </xdr:from>
    <xdr:to>
      <xdr:col>7</xdr:col>
      <xdr:colOff>2355745</xdr:colOff>
      <xdr:row>11</xdr:row>
      <xdr:rowOff>420806</xdr:rowOff>
    </xdr:to>
    <xdr:pic>
      <xdr:nvPicPr>
        <xdr:cNvPr id="14" name="Рисунок 13" descr="ВЕНТИЛЯТОР КРОВЕЛЬНЫЙ РОМАН.jpg"/>
        <xdr:cNvPicPr>
          <a:picLocks noChangeAspect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10975965" y="3848093"/>
          <a:ext cx="1466755" cy="944688"/>
        </a:xfrm>
        <a:prstGeom prst="rect">
          <a:avLst/>
        </a:prstGeom>
      </xdr:spPr>
    </xdr:pic>
    <xdr:clientData/>
  </xdr:twoCellAnchor>
  <xdr:twoCellAnchor editAs="oneCell">
    <xdr:from>
      <xdr:col>0</xdr:col>
      <xdr:colOff>79372</xdr:colOff>
      <xdr:row>12</xdr:row>
      <xdr:rowOff>79368</xdr:rowOff>
    </xdr:from>
    <xdr:to>
      <xdr:col>0</xdr:col>
      <xdr:colOff>1376157</xdr:colOff>
      <xdr:row>14</xdr:row>
      <xdr:rowOff>285454</xdr:rowOff>
    </xdr:to>
    <xdr:pic>
      <xdr:nvPicPr>
        <xdr:cNvPr id="15" name="Рисунок 14" descr="ЛИСТ ПЛОСКИЙ.jpg"/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79372" y="4927593"/>
          <a:ext cx="1296785" cy="86331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17</xdr:row>
      <xdr:rowOff>47624</xdr:rowOff>
    </xdr:from>
    <xdr:to>
      <xdr:col>0</xdr:col>
      <xdr:colOff>748241</xdr:colOff>
      <xdr:row>18</xdr:row>
      <xdr:rowOff>533403</xdr:rowOff>
    </xdr:to>
    <xdr:pic>
      <xdr:nvPicPr>
        <xdr:cNvPr id="16" name="Рисунок 15" descr="ЕНДОВА.jpg"/>
        <xdr:cNvPicPr>
          <a:picLocks noChangeAspect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333375" y="6448424"/>
          <a:ext cx="414866" cy="103822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1143000</xdr:colOff>
      <xdr:row>17</xdr:row>
      <xdr:rowOff>285750</xdr:rowOff>
    </xdr:from>
    <xdr:to>
      <xdr:col>0</xdr:col>
      <xdr:colOff>2286000</xdr:colOff>
      <xdr:row>18</xdr:row>
      <xdr:rowOff>375920</xdr:rowOff>
    </xdr:to>
    <xdr:pic>
      <xdr:nvPicPr>
        <xdr:cNvPr id="17" name="Рисунок 16" descr="Накладка на ендову.jpg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143000" y="6686550"/>
          <a:ext cx="1143000" cy="642620"/>
        </a:xfrm>
        <a:prstGeom prst="rect">
          <a:avLst/>
        </a:prstGeom>
      </xdr:spPr>
    </xdr:pic>
    <xdr:clientData/>
  </xdr:twoCellAnchor>
  <xdr:twoCellAnchor editAs="oneCell">
    <xdr:from>
      <xdr:col>7</xdr:col>
      <xdr:colOff>1285856</xdr:colOff>
      <xdr:row>12</xdr:row>
      <xdr:rowOff>63497</xdr:rowOff>
    </xdr:from>
    <xdr:to>
      <xdr:col>7</xdr:col>
      <xdr:colOff>2314557</xdr:colOff>
      <xdr:row>15</xdr:row>
      <xdr:rowOff>288414</xdr:rowOff>
    </xdr:to>
    <xdr:pic>
      <xdr:nvPicPr>
        <xdr:cNvPr id="18" name="Рисунок 17" descr="РЕБРИСТЫЙ ЖЕЛОБОК.jpg"/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11372831" y="4911722"/>
          <a:ext cx="1028701" cy="1186942"/>
        </a:xfrm>
        <a:prstGeom prst="rect">
          <a:avLst/>
        </a:prstGeom>
      </xdr:spPr>
    </xdr:pic>
    <xdr:clientData/>
  </xdr:twoCellAnchor>
  <xdr:twoCellAnchor editAs="oneCell">
    <xdr:from>
      <xdr:col>0</xdr:col>
      <xdr:colOff>920750</xdr:colOff>
      <xdr:row>19</xdr:row>
      <xdr:rowOff>79375</xdr:rowOff>
    </xdr:from>
    <xdr:to>
      <xdr:col>0</xdr:col>
      <xdr:colOff>1429489</xdr:colOff>
      <xdr:row>19</xdr:row>
      <xdr:rowOff>488361</xdr:rowOff>
    </xdr:to>
    <xdr:pic>
      <xdr:nvPicPr>
        <xdr:cNvPr id="19" name="Рисунок 18" descr="ЗАЖИМ ЕНДОВЫ (СКОБКА).jpg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20750" y="7651750"/>
          <a:ext cx="508739" cy="408986"/>
        </a:xfrm>
        <a:prstGeom prst="rect">
          <a:avLst/>
        </a:prstGeom>
      </xdr:spPr>
    </xdr:pic>
    <xdr:clientData/>
  </xdr:twoCellAnchor>
  <xdr:twoCellAnchor editAs="oneCell">
    <xdr:from>
      <xdr:col>7</xdr:col>
      <xdr:colOff>126994</xdr:colOff>
      <xdr:row>12</xdr:row>
      <xdr:rowOff>238125</xdr:rowOff>
    </xdr:from>
    <xdr:to>
      <xdr:col>7</xdr:col>
      <xdr:colOff>1087114</xdr:colOff>
      <xdr:row>14</xdr:row>
      <xdr:rowOff>211455</xdr:rowOff>
    </xdr:to>
    <xdr:pic>
      <xdr:nvPicPr>
        <xdr:cNvPr id="20" name="Рисунок 19" descr="b-1-32.jpg"/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 rot="20498351">
          <a:off x="10213969" y="5086350"/>
          <a:ext cx="960120" cy="630555"/>
        </a:xfrm>
        <a:prstGeom prst="rect">
          <a:avLst/>
        </a:prstGeom>
      </xdr:spPr>
    </xdr:pic>
    <xdr:clientData/>
  </xdr:twoCellAnchor>
  <xdr:twoCellAnchor editAs="oneCell">
    <xdr:from>
      <xdr:col>7</xdr:col>
      <xdr:colOff>95248</xdr:colOff>
      <xdr:row>16</xdr:row>
      <xdr:rowOff>63499</xdr:rowOff>
    </xdr:from>
    <xdr:to>
      <xdr:col>7</xdr:col>
      <xdr:colOff>1354626</xdr:colOff>
      <xdr:row>18</xdr:row>
      <xdr:rowOff>83068</xdr:rowOff>
    </xdr:to>
    <xdr:pic>
      <xdr:nvPicPr>
        <xdr:cNvPr id="21" name="Рисунок 20" descr="ГОФРИРОВАННАЯ ЛЕНТА ДЛЯ ПРИМЫКАНИЙ F-2, АЛЮМИНИЙ.jpg"/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182223" y="6216649"/>
          <a:ext cx="1259378" cy="819669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1349375</xdr:colOff>
      <xdr:row>17</xdr:row>
      <xdr:rowOff>254000</xdr:rowOff>
    </xdr:from>
    <xdr:to>
      <xdr:col>7</xdr:col>
      <xdr:colOff>2403486</xdr:colOff>
      <xdr:row>18</xdr:row>
      <xdr:rowOff>523882</xdr:rowOff>
    </xdr:to>
    <xdr:pic>
      <xdr:nvPicPr>
        <xdr:cNvPr id="22" name="Рисунок 21" descr="ПРИЖИМНАЯ ПЛАНКА, ПЛАНКА ПРИМЫКАНИЯ.jpg"/>
        <xdr:cNvPicPr>
          <a:picLocks noChangeAspect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11436350" y="6654800"/>
          <a:ext cx="1054111" cy="822332"/>
        </a:xfrm>
        <a:prstGeom prst="rect">
          <a:avLst/>
        </a:prstGeom>
      </xdr:spPr>
    </xdr:pic>
    <xdr:clientData/>
  </xdr:twoCellAnchor>
  <xdr:twoCellAnchor editAs="oneCell">
    <xdr:from>
      <xdr:col>0</xdr:col>
      <xdr:colOff>15871</xdr:colOff>
      <xdr:row>20</xdr:row>
      <xdr:rowOff>95242</xdr:rowOff>
    </xdr:from>
    <xdr:to>
      <xdr:col>0</xdr:col>
      <xdr:colOff>1550204</xdr:colOff>
      <xdr:row>22</xdr:row>
      <xdr:rowOff>275313</xdr:rowOff>
    </xdr:to>
    <xdr:pic>
      <xdr:nvPicPr>
        <xdr:cNvPr id="23" name="Рисунок 22" descr="ПЛАНКА ТОРЦЕВАЯ (ЛЕВАЯ, ПРАВАЯ).jpg"/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5871" y="8277217"/>
          <a:ext cx="1534333" cy="1027796"/>
        </a:xfrm>
        <a:prstGeom prst="rect">
          <a:avLst/>
        </a:prstGeom>
      </xdr:spPr>
    </xdr:pic>
    <xdr:clientData/>
  </xdr:twoCellAnchor>
  <xdr:twoCellAnchor editAs="oneCell">
    <xdr:from>
      <xdr:col>7</xdr:col>
      <xdr:colOff>222236</xdr:colOff>
      <xdr:row>19</xdr:row>
      <xdr:rowOff>190500</xdr:rowOff>
    </xdr:from>
    <xdr:to>
      <xdr:col>7</xdr:col>
      <xdr:colOff>1329908</xdr:colOff>
      <xdr:row>20</xdr:row>
      <xdr:rowOff>312909</xdr:rowOff>
    </xdr:to>
    <xdr:pic>
      <xdr:nvPicPr>
        <xdr:cNvPr id="24" name="Рисунок 11" descr="проходной элемент.jpg"/>
        <xdr:cNvPicPr>
          <a:picLocks noChangeAspect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 bwMode="auto">
        <a:xfrm>
          <a:off x="10309211" y="7762875"/>
          <a:ext cx="1107672" cy="7320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1333487</xdr:colOff>
      <xdr:row>19</xdr:row>
      <xdr:rowOff>95249</xdr:rowOff>
    </xdr:from>
    <xdr:to>
      <xdr:col>7</xdr:col>
      <xdr:colOff>2478620</xdr:colOff>
      <xdr:row>20</xdr:row>
      <xdr:rowOff>408106</xdr:rowOff>
    </xdr:to>
    <xdr:pic>
      <xdr:nvPicPr>
        <xdr:cNvPr id="25" name="Рисунок 5" descr="image001"/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 bwMode="auto">
        <a:xfrm>
          <a:off x="11420462" y="7667624"/>
          <a:ext cx="1145133" cy="922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190474</xdr:colOff>
      <xdr:row>21</xdr:row>
      <xdr:rowOff>63486</xdr:rowOff>
    </xdr:from>
    <xdr:to>
      <xdr:col>7</xdr:col>
      <xdr:colOff>896467</xdr:colOff>
      <xdr:row>23</xdr:row>
      <xdr:rowOff>216331</xdr:rowOff>
    </xdr:to>
    <xdr:pic>
      <xdr:nvPicPr>
        <xdr:cNvPr id="26" name="Picture 23" descr="Фигароль"/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 bwMode="auto">
        <a:xfrm>
          <a:off x="10277449" y="8740761"/>
          <a:ext cx="705993" cy="857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1333485</xdr:colOff>
      <xdr:row>23</xdr:row>
      <xdr:rowOff>285737</xdr:rowOff>
    </xdr:from>
    <xdr:to>
      <xdr:col>7</xdr:col>
      <xdr:colOff>2470022</xdr:colOff>
      <xdr:row>25</xdr:row>
      <xdr:rowOff>228960</xdr:rowOff>
    </xdr:to>
    <xdr:pic>
      <xdr:nvPicPr>
        <xdr:cNvPr id="27" name="Рисунок 26" descr="КАРНИЗНАЯ ВЕНТИЛЯЦИОННАЯ ЛЕНТА.jpg"/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11420460" y="9667862"/>
          <a:ext cx="1136537" cy="657598"/>
        </a:xfrm>
        <a:prstGeom prst="rect">
          <a:avLst/>
        </a:prstGeom>
      </xdr:spPr>
    </xdr:pic>
    <xdr:clientData/>
  </xdr:twoCellAnchor>
  <xdr:twoCellAnchor editAs="oneCell">
    <xdr:from>
      <xdr:col>0</xdr:col>
      <xdr:colOff>79364</xdr:colOff>
      <xdr:row>23</xdr:row>
      <xdr:rowOff>95249</xdr:rowOff>
    </xdr:from>
    <xdr:to>
      <xdr:col>0</xdr:col>
      <xdr:colOff>1229180</xdr:colOff>
      <xdr:row>25</xdr:row>
      <xdr:rowOff>254413</xdr:rowOff>
    </xdr:to>
    <xdr:pic>
      <xdr:nvPicPr>
        <xdr:cNvPr id="28" name="Рисунок 27" descr="ПРИМЫКАНИЕ К ВЕРТИКАЛЬНОЙ СТЕНЕ.jpg"/>
        <xdr:cNvPicPr>
          <a:picLocks noChangeAspect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79364" y="9477374"/>
          <a:ext cx="1149816" cy="873539"/>
        </a:xfrm>
        <a:prstGeom prst="rect">
          <a:avLst/>
        </a:prstGeom>
      </xdr:spPr>
    </xdr:pic>
    <xdr:clientData/>
  </xdr:twoCellAnchor>
  <xdr:twoCellAnchor editAs="oneCell">
    <xdr:from>
      <xdr:col>0</xdr:col>
      <xdr:colOff>1484151</xdr:colOff>
      <xdr:row>23</xdr:row>
      <xdr:rowOff>87002</xdr:rowOff>
    </xdr:from>
    <xdr:to>
      <xdr:col>0</xdr:col>
      <xdr:colOff>2403497</xdr:colOff>
      <xdr:row>25</xdr:row>
      <xdr:rowOff>273768</xdr:rowOff>
    </xdr:to>
    <xdr:pic>
      <xdr:nvPicPr>
        <xdr:cNvPr id="29" name="Рисунок 28" descr="ПРИМЫКАНИЕ БОКОВОЕ (ЛЕВОЕ, ПРАВОЕ).jpg"/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1484151" y="9469127"/>
          <a:ext cx="919346" cy="90114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1333496</xdr:colOff>
      <xdr:row>26</xdr:row>
      <xdr:rowOff>396870</xdr:rowOff>
    </xdr:from>
    <xdr:to>
      <xdr:col>0</xdr:col>
      <xdr:colOff>2391152</xdr:colOff>
      <xdr:row>28</xdr:row>
      <xdr:rowOff>76194</xdr:rowOff>
    </xdr:to>
    <xdr:pic>
      <xdr:nvPicPr>
        <xdr:cNvPr id="30" name="Рисунок 29" descr="ГВОЗДИ.jpg"/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1333496" y="10836270"/>
          <a:ext cx="1057656" cy="102234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26</xdr:row>
      <xdr:rowOff>142875</xdr:rowOff>
    </xdr:from>
    <xdr:to>
      <xdr:col>0</xdr:col>
      <xdr:colOff>1095375</xdr:colOff>
      <xdr:row>27</xdr:row>
      <xdr:rowOff>389255</xdr:rowOff>
    </xdr:to>
    <xdr:pic>
      <xdr:nvPicPr>
        <xdr:cNvPr id="31" name="Рисунок 30" descr="Саморез Люксард.jpg"/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142875" y="10582275"/>
          <a:ext cx="952500" cy="1132205"/>
        </a:xfrm>
        <a:prstGeom prst="rect">
          <a:avLst/>
        </a:prstGeom>
      </xdr:spPr>
    </xdr:pic>
    <xdr:clientData/>
  </xdr:twoCellAnchor>
  <xdr:twoCellAnchor editAs="oneCell">
    <xdr:from>
      <xdr:col>0</xdr:col>
      <xdr:colOff>174625</xdr:colOff>
      <xdr:row>29</xdr:row>
      <xdr:rowOff>63499</xdr:rowOff>
    </xdr:from>
    <xdr:to>
      <xdr:col>0</xdr:col>
      <xdr:colOff>966205</xdr:colOff>
      <xdr:row>31</xdr:row>
      <xdr:rowOff>53067</xdr:rowOff>
    </xdr:to>
    <xdr:pic>
      <xdr:nvPicPr>
        <xdr:cNvPr id="32" name="Рисунок 31" descr="ГРАНУЛЯТ РЕМОНТНЫЙ.jpg"/>
        <xdr:cNvPicPr>
          <a:picLocks noChangeAspect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174625" y="12322174"/>
          <a:ext cx="791580" cy="961118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1397000</xdr:colOff>
      <xdr:row>29</xdr:row>
      <xdr:rowOff>79375</xdr:rowOff>
    </xdr:from>
    <xdr:to>
      <xdr:col>0</xdr:col>
      <xdr:colOff>1999465</xdr:colOff>
      <xdr:row>31</xdr:row>
      <xdr:rowOff>81222</xdr:rowOff>
    </xdr:to>
    <xdr:pic>
      <xdr:nvPicPr>
        <xdr:cNvPr id="33" name="Рисунок 32" descr="КРАСКА РЕМОНТНАЯ.jpg"/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1397000" y="12338050"/>
          <a:ext cx="602465" cy="973397"/>
        </a:xfrm>
        <a:prstGeom prst="rect">
          <a:avLst/>
        </a:prstGeom>
      </xdr:spPr>
    </xdr:pic>
    <xdr:clientData/>
  </xdr:twoCellAnchor>
  <xdr:twoCellAnchor editAs="oneCell">
    <xdr:from>
      <xdr:col>7</xdr:col>
      <xdr:colOff>1133522</xdr:colOff>
      <xdr:row>30</xdr:row>
      <xdr:rowOff>44544</xdr:rowOff>
    </xdr:from>
    <xdr:to>
      <xdr:col>7</xdr:col>
      <xdr:colOff>2506521</xdr:colOff>
      <xdr:row>31</xdr:row>
      <xdr:rowOff>63769</xdr:rowOff>
    </xdr:to>
    <xdr:pic>
      <xdr:nvPicPr>
        <xdr:cNvPr id="34" name="Рисунок 33" descr="Ножницы подрезные левые-правые EDMA - статика.jpg"/>
        <xdr:cNvPicPr>
          <a:picLocks noChangeAspect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11220497" y="12788994"/>
          <a:ext cx="1372999" cy="5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150694</xdr:colOff>
      <xdr:row>29</xdr:row>
      <xdr:rowOff>68713</xdr:rowOff>
    </xdr:from>
    <xdr:to>
      <xdr:col>7</xdr:col>
      <xdr:colOff>1420546</xdr:colOff>
      <xdr:row>30</xdr:row>
      <xdr:rowOff>160576</xdr:rowOff>
    </xdr:to>
    <xdr:pic>
      <xdr:nvPicPr>
        <xdr:cNvPr id="35" name="Рисунок 34" descr="Клещи гибочные 45 гр 80 мм Stubai - статика.jpg"/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0237669" y="12327388"/>
          <a:ext cx="1269852" cy="57763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18590</xdr:colOff>
      <xdr:row>28</xdr:row>
      <xdr:rowOff>142875</xdr:rowOff>
    </xdr:from>
    <xdr:to>
      <xdr:col>14</xdr:col>
      <xdr:colOff>628650</xdr:colOff>
      <xdr:row>35</xdr:row>
      <xdr:rowOff>0</xdr:rowOff>
    </xdr:to>
    <xdr:grpSp>
      <xdr:nvGrpSpPr>
        <xdr:cNvPr id="3" name="Группа 34"/>
        <xdr:cNvGrpSpPr>
          <a:grpSpLocks/>
        </xdr:cNvGrpSpPr>
      </xdr:nvGrpSpPr>
      <xdr:grpSpPr bwMode="auto">
        <a:xfrm>
          <a:off x="19352" y="6052787"/>
          <a:ext cx="10669935" cy="1114929"/>
          <a:chOff x="20" y="10171"/>
          <a:chExt cx="10689" cy="1478"/>
        </a:xfrm>
      </xdr:grpSpPr>
      <xdr:pic>
        <xdr:nvPicPr>
          <xdr:cNvPr id="4" name="Picture 4161"/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/>
          <a:srcRect/>
          <a:stretch>
            <a:fillRect/>
          </a:stretch>
        </xdr:blipFill>
        <xdr:spPr bwMode="auto">
          <a:xfrm>
            <a:off x="7593" y="10171"/>
            <a:ext cx="1546" cy="1464"/>
          </a:xfrm>
          <a:prstGeom prst="rect">
            <a:avLst/>
          </a:prstGeom>
          <a:noFill/>
          <a:ln w="9525">
            <a:noFill/>
            <a:round/>
            <a:headEnd/>
            <a:tailEnd/>
          </a:ln>
        </xdr:spPr>
      </xdr:pic>
      <xdr:pic>
        <xdr:nvPicPr>
          <xdr:cNvPr id="5" name="Picture 4132"/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/>
          <a:srcRect/>
          <a:stretch>
            <a:fillRect/>
          </a:stretch>
        </xdr:blipFill>
        <xdr:spPr bwMode="auto">
          <a:xfrm>
            <a:off x="1574" y="10185"/>
            <a:ext cx="1530" cy="1448"/>
          </a:xfrm>
          <a:prstGeom prst="rect">
            <a:avLst/>
          </a:prstGeom>
          <a:noFill/>
          <a:ln w="9525">
            <a:noFill/>
            <a:round/>
            <a:headEnd/>
            <a:tailEnd/>
          </a:ln>
        </xdr:spPr>
      </xdr:pic>
      <xdr:pic>
        <xdr:nvPicPr>
          <xdr:cNvPr id="6" name="Picture 220"/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/>
          <a:srcRect t="1895" r="32281" b="14131"/>
          <a:stretch>
            <a:fillRect/>
          </a:stretch>
        </xdr:blipFill>
        <xdr:spPr bwMode="auto">
          <a:xfrm>
            <a:off x="6045" y="10185"/>
            <a:ext cx="1553" cy="1448"/>
          </a:xfrm>
          <a:prstGeom prst="rect">
            <a:avLst/>
          </a:prstGeom>
          <a:noFill/>
          <a:ln w="9525">
            <a:noFill/>
            <a:round/>
            <a:headEnd/>
            <a:tailEnd/>
          </a:ln>
        </xdr:spPr>
      </xdr:pic>
      <xdr:pic>
        <xdr:nvPicPr>
          <xdr:cNvPr id="7" name="Picture 131"/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print"/>
          <a:srcRect/>
          <a:stretch>
            <a:fillRect/>
          </a:stretch>
        </xdr:blipFill>
        <xdr:spPr bwMode="auto">
          <a:xfrm>
            <a:off x="20" y="10185"/>
            <a:ext cx="1558" cy="1448"/>
          </a:xfrm>
          <a:prstGeom prst="rect">
            <a:avLst/>
          </a:prstGeom>
          <a:noFill/>
          <a:ln w="9525">
            <a:noFill/>
            <a:round/>
            <a:headEnd/>
            <a:tailEnd/>
          </a:ln>
        </xdr:spPr>
      </xdr:pic>
      <xdr:sp macro="" textlink="">
        <xdr:nvSpPr>
          <xdr:cNvPr id="8" name="WordArt 132"/>
          <xdr:cNvSpPr>
            <a:spLocks noChangeArrowheads="1" noChangeShapeType="1" noTextEdit="1"/>
          </xdr:cNvSpPr>
        </xdr:nvSpPr>
        <xdr:spPr bwMode="auto">
          <a:xfrm>
            <a:off x="1233" y="10244"/>
            <a:ext cx="162" cy="379"/>
          </a:xfrm>
          <a:prstGeom prst="rect">
            <a:avLst/>
          </a:prstGeom>
        </xdr:spPr>
        <xdr:txBody>
          <a:bodyPr wrap="none" fromWordArt="1">
            <a:prstTxWarp prst="textPlain">
              <a:avLst>
                <a:gd name="adj" fmla="val 50000"/>
              </a:avLst>
            </a:prstTxWarp>
          </a:bodyPr>
          <a:lstStyle/>
          <a:p>
            <a:pPr algn="dist" rtl="0"/>
            <a:r>
              <a:rPr lang="ru-RU" sz="2800" kern="10" spc="0">
                <a:ln w="9360" cap="sq">
                  <a:solidFill>
                    <a:srgbClr val="000000"/>
                  </a:solidFill>
                  <a:miter lim="800000"/>
                  <a:headEnd/>
                  <a:tailEnd/>
                </a:ln>
                <a:solidFill>
                  <a:srgbClr val="FFFFFF"/>
                </a:solidFill>
                <a:effectLst/>
                <a:latin typeface="Arial"/>
                <a:cs typeface="Arial"/>
              </a:rPr>
              <a:t>1</a:t>
            </a:r>
          </a:p>
        </xdr:txBody>
      </xdr:sp>
      <xdr:sp macro="" textlink="">
        <xdr:nvSpPr>
          <xdr:cNvPr id="9" name="WordArt 133"/>
          <xdr:cNvSpPr>
            <a:spLocks noChangeArrowheads="1" noChangeShapeType="1" noTextEdit="1"/>
          </xdr:cNvSpPr>
        </xdr:nvSpPr>
        <xdr:spPr bwMode="auto">
          <a:xfrm>
            <a:off x="2737" y="10244"/>
            <a:ext cx="216" cy="379"/>
          </a:xfrm>
          <a:prstGeom prst="rect">
            <a:avLst/>
          </a:prstGeom>
        </xdr:spPr>
        <xdr:txBody>
          <a:bodyPr wrap="none" fromWordArt="1">
            <a:prstTxWarp prst="textPlain">
              <a:avLst>
                <a:gd name="adj" fmla="val 50000"/>
              </a:avLst>
            </a:prstTxWarp>
          </a:bodyPr>
          <a:lstStyle/>
          <a:p>
            <a:pPr algn="dist" rtl="0"/>
            <a:r>
              <a:rPr lang="ru-RU" sz="2800" kern="10" spc="0">
                <a:ln w="9360" cap="sq">
                  <a:solidFill>
                    <a:srgbClr val="000000"/>
                  </a:solidFill>
                  <a:miter lim="800000"/>
                  <a:headEnd/>
                  <a:tailEnd/>
                </a:ln>
                <a:solidFill>
                  <a:srgbClr val="FFFFFF"/>
                </a:solidFill>
                <a:effectLst/>
                <a:latin typeface="Arial"/>
                <a:cs typeface="Arial"/>
              </a:rPr>
              <a:t>2</a:t>
            </a:r>
          </a:p>
        </xdr:txBody>
      </xdr:sp>
      <xdr:pic>
        <xdr:nvPicPr>
          <xdr:cNvPr id="10" name="Picture 134"/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print"/>
          <a:srcRect/>
          <a:stretch>
            <a:fillRect/>
          </a:stretch>
        </xdr:blipFill>
        <xdr:spPr bwMode="auto">
          <a:xfrm>
            <a:off x="4594" y="10185"/>
            <a:ext cx="1454" cy="1448"/>
          </a:xfrm>
          <a:prstGeom prst="rect">
            <a:avLst/>
          </a:prstGeom>
          <a:noFill/>
          <a:ln w="9525">
            <a:noFill/>
            <a:round/>
            <a:headEnd/>
            <a:tailEnd/>
          </a:ln>
        </xdr:spPr>
      </xdr:pic>
      <xdr:pic>
        <xdr:nvPicPr>
          <xdr:cNvPr id="11" name="Picture 136"/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print"/>
          <a:srcRect/>
          <a:stretch>
            <a:fillRect/>
          </a:stretch>
        </xdr:blipFill>
        <xdr:spPr bwMode="auto">
          <a:xfrm>
            <a:off x="3109" y="10188"/>
            <a:ext cx="1486" cy="1448"/>
          </a:xfrm>
          <a:prstGeom prst="rect">
            <a:avLst/>
          </a:prstGeom>
          <a:noFill/>
          <a:ln w="9525">
            <a:noFill/>
            <a:round/>
            <a:headEnd/>
            <a:tailEnd/>
          </a:ln>
        </xdr:spPr>
      </xdr:pic>
      <xdr:sp macro="" textlink="">
        <xdr:nvSpPr>
          <xdr:cNvPr id="12" name="WordArt 137"/>
          <xdr:cNvSpPr>
            <a:spLocks noChangeArrowheads="1" noChangeShapeType="1" noTextEdit="1"/>
          </xdr:cNvSpPr>
        </xdr:nvSpPr>
        <xdr:spPr bwMode="auto">
          <a:xfrm>
            <a:off x="5637" y="10244"/>
            <a:ext cx="227" cy="428"/>
          </a:xfrm>
          <a:prstGeom prst="rect">
            <a:avLst/>
          </a:prstGeom>
        </xdr:spPr>
        <xdr:txBody>
          <a:bodyPr wrap="none" fromWordArt="1">
            <a:prstTxWarp prst="textPlain">
              <a:avLst>
                <a:gd name="adj" fmla="val 50000"/>
              </a:avLst>
            </a:prstTxWarp>
          </a:bodyPr>
          <a:lstStyle/>
          <a:p>
            <a:pPr algn="dist" rtl="0"/>
            <a:r>
              <a:rPr lang="ru-RU" sz="2800" kern="10" spc="0">
                <a:ln w="9360" cap="sq">
                  <a:solidFill>
                    <a:srgbClr val="000000"/>
                  </a:solidFill>
                  <a:miter lim="800000"/>
                  <a:headEnd/>
                  <a:tailEnd/>
                </a:ln>
                <a:solidFill>
                  <a:srgbClr val="FFFFFF"/>
                </a:solidFill>
                <a:effectLst/>
                <a:latin typeface="Arial"/>
                <a:cs typeface="Arial"/>
              </a:rPr>
              <a:t>4</a:t>
            </a:r>
          </a:p>
        </xdr:txBody>
      </xdr:sp>
      <xdr:sp macro="" textlink="">
        <xdr:nvSpPr>
          <xdr:cNvPr id="13" name="WordArt 138"/>
          <xdr:cNvSpPr>
            <a:spLocks noChangeArrowheads="1" noChangeShapeType="1" noTextEdit="1"/>
          </xdr:cNvSpPr>
        </xdr:nvSpPr>
        <xdr:spPr bwMode="auto">
          <a:xfrm>
            <a:off x="7282" y="10244"/>
            <a:ext cx="173" cy="440"/>
          </a:xfrm>
          <a:prstGeom prst="rect">
            <a:avLst/>
          </a:prstGeom>
        </xdr:spPr>
        <xdr:txBody>
          <a:bodyPr wrap="none" fromWordArt="1">
            <a:prstTxWarp prst="textPlain">
              <a:avLst>
                <a:gd name="adj" fmla="val 50000"/>
              </a:avLst>
            </a:prstTxWarp>
          </a:bodyPr>
          <a:lstStyle/>
          <a:p>
            <a:pPr algn="dist" rtl="0"/>
            <a:r>
              <a:rPr lang="ru-RU" sz="2800" kern="10" spc="0">
                <a:ln w="9360" cap="sq">
                  <a:solidFill>
                    <a:srgbClr val="000000"/>
                  </a:solidFill>
                  <a:miter lim="800000"/>
                  <a:headEnd/>
                  <a:tailEnd/>
                </a:ln>
                <a:solidFill>
                  <a:srgbClr val="FFFFFF"/>
                </a:solidFill>
                <a:effectLst/>
                <a:latin typeface="Arial"/>
                <a:cs typeface="Arial"/>
              </a:rPr>
              <a:t>5</a:t>
            </a:r>
          </a:p>
        </xdr:txBody>
      </xdr:sp>
      <xdr:sp macro="" textlink="">
        <xdr:nvSpPr>
          <xdr:cNvPr id="14" name="WordArt 142"/>
          <xdr:cNvSpPr>
            <a:spLocks noChangeArrowheads="1" noChangeShapeType="1" noTextEdit="1"/>
          </xdr:cNvSpPr>
        </xdr:nvSpPr>
        <xdr:spPr bwMode="auto">
          <a:xfrm>
            <a:off x="4220" y="10257"/>
            <a:ext cx="216" cy="391"/>
          </a:xfrm>
          <a:prstGeom prst="rect">
            <a:avLst/>
          </a:prstGeom>
        </xdr:spPr>
        <xdr:txBody>
          <a:bodyPr wrap="none" fromWordArt="1">
            <a:prstTxWarp prst="textPlain">
              <a:avLst>
                <a:gd name="adj" fmla="val 50000"/>
              </a:avLst>
            </a:prstTxWarp>
          </a:bodyPr>
          <a:lstStyle/>
          <a:p>
            <a:pPr algn="dist" rtl="0"/>
            <a:r>
              <a:rPr lang="ru-RU" sz="2800" kern="10" spc="0">
                <a:ln w="9360" cap="sq">
                  <a:solidFill>
                    <a:srgbClr val="000000"/>
                  </a:solidFill>
                  <a:miter lim="800000"/>
                  <a:headEnd/>
                  <a:tailEnd/>
                </a:ln>
                <a:solidFill>
                  <a:srgbClr val="FFFFFF"/>
                </a:solidFill>
                <a:effectLst/>
                <a:latin typeface="Arial"/>
                <a:cs typeface="Arial"/>
              </a:rPr>
              <a:t>3</a:t>
            </a:r>
          </a:p>
        </xdr:txBody>
      </xdr:sp>
      <xdr:sp macro="" textlink="">
        <xdr:nvSpPr>
          <xdr:cNvPr id="15" name="WordArt 140"/>
          <xdr:cNvSpPr>
            <a:spLocks noChangeArrowheads="1" noChangeShapeType="1" noTextEdit="1"/>
          </xdr:cNvSpPr>
        </xdr:nvSpPr>
        <xdr:spPr bwMode="auto">
          <a:xfrm>
            <a:off x="8775" y="10232"/>
            <a:ext cx="238" cy="415"/>
          </a:xfrm>
          <a:prstGeom prst="rect">
            <a:avLst/>
          </a:prstGeom>
        </xdr:spPr>
        <xdr:txBody>
          <a:bodyPr wrap="none" fromWordArt="1">
            <a:prstTxWarp prst="textPlain">
              <a:avLst>
                <a:gd name="adj" fmla="val 50000"/>
              </a:avLst>
            </a:prstTxWarp>
          </a:bodyPr>
          <a:lstStyle/>
          <a:p>
            <a:pPr algn="dist" rtl="0"/>
            <a:r>
              <a:rPr lang="ru-RU" sz="2800" kern="10" spc="0">
                <a:ln w="9360" cap="sq">
                  <a:solidFill>
                    <a:srgbClr val="000000"/>
                  </a:solidFill>
                  <a:miter lim="800000"/>
                  <a:headEnd/>
                  <a:tailEnd/>
                </a:ln>
                <a:solidFill>
                  <a:srgbClr val="FFFFFF"/>
                </a:solidFill>
                <a:effectLst/>
                <a:latin typeface="Arial"/>
                <a:cs typeface="Arial"/>
              </a:rPr>
              <a:t>6</a:t>
            </a:r>
          </a:p>
        </xdr:txBody>
      </xdr:sp>
      <xdr:pic>
        <xdr:nvPicPr>
          <xdr:cNvPr id="16" name="Рисунок 37"/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print"/>
          <a:srcRect/>
          <a:stretch>
            <a:fillRect/>
          </a:stretch>
        </xdr:blipFill>
        <xdr:spPr bwMode="auto">
          <a:xfrm>
            <a:off x="9144" y="10171"/>
            <a:ext cx="1565" cy="1478"/>
          </a:xfrm>
          <a:prstGeom prst="rect">
            <a:avLst/>
          </a:prstGeom>
          <a:noFill/>
          <a:ln w="9525">
            <a:noFill/>
            <a:round/>
            <a:headEnd/>
            <a:tailEnd/>
          </a:ln>
        </xdr:spPr>
      </xdr:pic>
      <xdr:sp macro="" textlink="">
        <xdr:nvSpPr>
          <xdr:cNvPr id="17" name="WordArt 140"/>
          <xdr:cNvSpPr>
            <a:spLocks noChangeArrowheads="1" noChangeShapeType="1" noTextEdit="1"/>
          </xdr:cNvSpPr>
        </xdr:nvSpPr>
        <xdr:spPr bwMode="auto">
          <a:xfrm>
            <a:off x="10355" y="10244"/>
            <a:ext cx="216" cy="354"/>
          </a:xfrm>
          <a:prstGeom prst="rect">
            <a:avLst/>
          </a:prstGeom>
        </xdr:spPr>
        <xdr:txBody>
          <a:bodyPr wrap="none" fromWordArt="1">
            <a:prstTxWarp prst="textPlain">
              <a:avLst>
                <a:gd name="adj" fmla="val 50000"/>
              </a:avLst>
            </a:prstTxWarp>
          </a:bodyPr>
          <a:lstStyle/>
          <a:p>
            <a:pPr algn="dist" rtl="0"/>
            <a:r>
              <a:rPr lang="ru-RU" sz="2800" kern="10" spc="0">
                <a:ln w="9360" cap="sq">
                  <a:solidFill>
                    <a:srgbClr val="000000"/>
                  </a:solidFill>
                  <a:miter lim="800000"/>
                  <a:headEnd/>
                  <a:tailEnd/>
                </a:ln>
                <a:solidFill>
                  <a:srgbClr val="FFFFFF"/>
                </a:solidFill>
                <a:effectLst/>
                <a:latin typeface="Arial"/>
                <a:cs typeface="Arial"/>
              </a:rPr>
              <a:t>7</a:t>
            </a:r>
          </a:p>
        </xdr:txBody>
      </xdr:sp>
    </xdr:grpSp>
    <xdr:clientData/>
  </xdr:twoCellAnchor>
  <xdr:twoCellAnchor editAs="oneCell">
    <xdr:from>
      <xdr:col>0</xdr:col>
      <xdr:colOff>19050</xdr:colOff>
      <xdr:row>70</xdr:row>
      <xdr:rowOff>28575</xdr:rowOff>
    </xdr:from>
    <xdr:to>
      <xdr:col>0</xdr:col>
      <xdr:colOff>561975</xdr:colOff>
      <xdr:row>70</xdr:row>
      <xdr:rowOff>266700</xdr:rowOff>
    </xdr:to>
    <xdr:pic>
      <xdr:nvPicPr>
        <xdr:cNvPr id="1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9050" y="15601950"/>
          <a:ext cx="542925" cy="2381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114301</xdr:colOff>
      <xdr:row>71</xdr:row>
      <xdr:rowOff>19051</xdr:rowOff>
    </xdr:from>
    <xdr:to>
      <xdr:col>0</xdr:col>
      <xdr:colOff>476250</xdr:colOff>
      <xdr:row>71</xdr:row>
      <xdr:rowOff>381000</xdr:rowOff>
    </xdr:to>
    <xdr:pic>
      <xdr:nvPicPr>
        <xdr:cNvPr id="1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14301" y="15906751"/>
          <a:ext cx="361949" cy="3619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1</xdr:rowOff>
    </xdr:from>
    <xdr:to>
      <xdr:col>4</xdr:col>
      <xdr:colOff>377874</xdr:colOff>
      <xdr:row>1</xdr:row>
      <xdr:rowOff>28575</xdr:rowOff>
    </xdr:to>
    <xdr:pic>
      <xdr:nvPicPr>
        <xdr:cNvPr id="2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"/>
          <a:ext cx="3759249" cy="819149"/>
        </a:xfrm>
        <a:prstGeom prst="rect">
          <a:avLst/>
        </a:prstGeom>
        <a:noFill/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9523</xdr:colOff>
      <xdr:row>0</xdr:row>
      <xdr:rowOff>9525</xdr:rowOff>
    </xdr:from>
    <xdr:to>
      <xdr:col>1</xdr:col>
      <xdr:colOff>3230166</xdr:colOff>
      <xdr:row>1</xdr:row>
      <xdr:rowOff>31750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9048" y="9525"/>
          <a:ext cx="3220643" cy="6985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114300</xdr:colOff>
      <xdr:row>42</xdr:row>
      <xdr:rowOff>133350</xdr:rowOff>
    </xdr:from>
    <xdr:to>
      <xdr:col>12</xdr:col>
      <xdr:colOff>22225</xdr:colOff>
      <xdr:row>47</xdr:row>
      <xdr:rowOff>57149</xdr:rowOff>
    </xdr:to>
    <xdr:pic>
      <xdr:nvPicPr>
        <xdr:cNvPr id="3" name="Рисунок 2" descr="Sea Wave дял прайса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15350" y="11096625"/>
          <a:ext cx="4375149" cy="93344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</xdr:colOff>
      <xdr:row>0</xdr:row>
      <xdr:rowOff>1</xdr:rowOff>
    </xdr:from>
    <xdr:to>
      <xdr:col>1</xdr:col>
      <xdr:colOff>619126</xdr:colOff>
      <xdr:row>9</xdr:row>
      <xdr:rowOff>67046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" y="1"/>
          <a:ext cx="6934199" cy="1533895"/>
        </a:xfrm>
        <a:prstGeom prst="rect">
          <a:avLst/>
        </a:prstGeom>
        <a:noFill/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3</xdr:col>
      <xdr:colOff>190500</xdr:colOff>
      <xdr:row>10</xdr:row>
      <xdr:rowOff>83865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" y="1"/>
          <a:ext cx="8505824" cy="1769789"/>
        </a:xfrm>
        <a:prstGeom prst="rect">
          <a:avLst/>
        </a:prstGeom>
        <a:noFill/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625475</xdr:colOff>
      <xdr:row>32</xdr:row>
      <xdr:rowOff>584200</xdr:rowOff>
    </xdr:from>
    <xdr:to>
      <xdr:col>1</xdr:col>
      <xdr:colOff>2670440</xdr:colOff>
      <xdr:row>32</xdr:row>
      <xdr:rowOff>1079500</xdr:rowOff>
    </xdr:to>
    <xdr:pic>
      <xdr:nvPicPr>
        <xdr:cNvPr id="2" name="Picture 11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25475" y="10337800"/>
          <a:ext cx="293396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1809750</xdr:colOff>
      <xdr:row>33</xdr:row>
      <xdr:rowOff>28575</xdr:rowOff>
    </xdr:from>
    <xdr:to>
      <xdr:col>1</xdr:col>
      <xdr:colOff>2379821</xdr:colOff>
      <xdr:row>35</xdr:row>
      <xdr:rowOff>165100</xdr:rowOff>
    </xdr:to>
    <xdr:pic>
      <xdr:nvPicPr>
        <xdr:cNvPr id="3" name="Picture 105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698750" y="11102975"/>
          <a:ext cx="570071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1752600</xdr:colOff>
      <xdr:row>36</xdr:row>
      <xdr:rowOff>57150</xdr:rowOff>
    </xdr:from>
    <xdr:to>
      <xdr:col>1</xdr:col>
      <xdr:colOff>2373178</xdr:colOff>
      <xdr:row>38</xdr:row>
      <xdr:rowOff>139700</xdr:rowOff>
    </xdr:to>
    <xdr:pic>
      <xdr:nvPicPr>
        <xdr:cNvPr id="4" name="Picture 105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641600" y="11741150"/>
          <a:ext cx="620578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1768475</xdr:colOff>
      <xdr:row>39</xdr:row>
      <xdr:rowOff>76200</xdr:rowOff>
    </xdr:from>
    <xdr:to>
      <xdr:col>1</xdr:col>
      <xdr:colOff>2435225</xdr:colOff>
      <xdr:row>41</xdr:row>
      <xdr:rowOff>165100</xdr:rowOff>
    </xdr:to>
    <xdr:pic>
      <xdr:nvPicPr>
        <xdr:cNvPr id="5" name="Picture 105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657475" y="12534900"/>
          <a:ext cx="66675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19050</xdr:rowOff>
    </xdr:from>
    <xdr:to>
      <xdr:col>1</xdr:col>
      <xdr:colOff>2209800</xdr:colOff>
      <xdr:row>4</xdr:row>
      <xdr:rowOff>38100</xdr:rowOff>
    </xdr:to>
    <xdr:pic>
      <xdr:nvPicPr>
        <xdr:cNvPr id="6" name="Picture 211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200025"/>
          <a:ext cx="3095625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34</xdr:row>
      <xdr:rowOff>28575</xdr:rowOff>
    </xdr:from>
    <xdr:to>
      <xdr:col>0</xdr:col>
      <xdr:colOff>579324</xdr:colOff>
      <xdr:row>35</xdr:row>
      <xdr:rowOff>381001</xdr:rowOff>
    </xdr:to>
    <xdr:pic>
      <xdr:nvPicPr>
        <xdr:cNvPr id="2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6200" y="5866039"/>
          <a:ext cx="503124" cy="624568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647700</xdr:colOff>
      <xdr:row>34</xdr:row>
      <xdr:rowOff>28576</xdr:rowOff>
    </xdr:from>
    <xdr:to>
      <xdr:col>0</xdr:col>
      <xdr:colOff>1122310</xdr:colOff>
      <xdr:row>35</xdr:row>
      <xdr:rowOff>353788</xdr:rowOff>
    </xdr:to>
    <xdr:pic>
      <xdr:nvPicPr>
        <xdr:cNvPr id="3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47700" y="5866040"/>
          <a:ext cx="474610" cy="597354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66675</xdr:colOff>
      <xdr:row>31</xdr:row>
      <xdr:rowOff>38100</xdr:rowOff>
    </xdr:from>
    <xdr:to>
      <xdr:col>0</xdr:col>
      <xdr:colOff>619125</xdr:colOff>
      <xdr:row>32</xdr:row>
      <xdr:rowOff>390526</xdr:rowOff>
    </xdr:to>
    <xdr:pic>
      <xdr:nvPicPr>
        <xdr:cNvPr id="4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6675" y="2019300"/>
          <a:ext cx="552450" cy="79057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638175</xdr:colOff>
      <xdr:row>31</xdr:row>
      <xdr:rowOff>28575</xdr:rowOff>
    </xdr:from>
    <xdr:to>
      <xdr:col>0</xdr:col>
      <xdr:colOff>1200150</xdr:colOff>
      <xdr:row>32</xdr:row>
      <xdr:rowOff>381001</xdr:rowOff>
    </xdr:to>
    <xdr:pic>
      <xdr:nvPicPr>
        <xdr:cNvPr id="5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38175" y="2009775"/>
          <a:ext cx="561975" cy="79057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1228725</xdr:colOff>
      <xdr:row>31</xdr:row>
      <xdr:rowOff>28575</xdr:rowOff>
    </xdr:from>
    <xdr:to>
      <xdr:col>0</xdr:col>
      <xdr:colOff>1790700</xdr:colOff>
      <xdr:row>32</xdr:row>
      <xdr:rowOff>390526</xdr:rowOff>
    </xdr:to>
    <xdr:pic>
      <xdr:nvPicPr>
        <xdr:cNvPr id="6" name="Рисунок 5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228725" y="2009775"/>
          <a:ext cx="561975" cy="80010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66675</xdr:colOff>
      <xdr:row>36</xdr:row>
      <xdr:rowOff>38100</xdr:rowOff>
    </xdr:from>
    <xdr:to>
      <xdr:col>0</xdr:col>
      <xdr:colOff>561975</xdr:colOff>
      <xdr:row>38</xdr:row>
      <xdr:rowOff>247651</xdr:rowOff>
    </xdr:to>
    <xdr:pic>
      <xdr:nvPicPr>
        <xdr:cNvPr id="7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6675" y="3838575"/>
          <a:ext cx="495300" cy="69532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657225</xdr:colOff>
      <xdr:row>36</xdr:row>
      <xdr:rowOff>38100</xdr:rowOff>
    </xdr:from>
    <xdr:to>
      <xdr:col>0</xdr:col>
      <xdr:colOff>1162050</xdr:colOff>
      <xdr:row>38</xdr:row>
      <xdr:rowOff>266701</xdr:rowOff>
    </xdr:to>
    <xdr:pic>
      <xdr:nvPicPr>
        <xdr:cNvPr id="8" name="Рисунок 39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57225" y="3838575"/>
          <a:ext cx="504825" cy="71437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76200</xdr:colOff>
      <xdr:row>48</xdr:row>
      <xdr:rowOff>38101</xdr:rowOff>
    </xdr:from>
    <xdr:to>
      <xdr:col>0</xdr:col>
      <xdr:colOff>1583531</xdr:colOff>
      <xdr:row>48</xdr:row>
      <xdr:rowOff>492013</xdr:rowOff>
    </xdr:to>
    <xdr:pic>
      <xdr:nvPicPr>
        <xdr:cNvPr id="9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76200" y="10813257"/>
          <a:ext cx="1507331" cy="453912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85725</xdr:colOff>
      <xdr:row>51</xdr:row>
      <xdr:rowOff>123825</xdr:rowOff>
    </xdr:from>
    <xdr:to>
      <xdr:col>0</xdr:col>
      <xdr:colOff>1695450</xdr:colOff>
      <xdr:row>51</xdr:row>
      <xdr:rowOff>504825</xdr:rowOff>
    </xdr:to>
    <xdr:pic>
      <xdr:nvPicPr>
        <xdr:cNvPr id="10" name="Рисунок 4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5725" y="9382125"/>
          <a:ext cx="1609725" cy="38100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47625</xdr:colOff>
      <xdr:row>47</xdr:row>
      <xdr:rowOff>66675</xdr:rowOff>
    </xdr:from>
    <xdr:to>
      <xdr:col>0</xdr:col>
      <xdr:colOff>1714500</xdr:colOff>
      <xdr:row>47</xdr:row>
      <xdr:rowOff>514350</xdr:rowOff>
    </xdr:to>
    <xdr:pic>
      <xdr:nvPicPr>
        <xdr:cNvPr id="11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7625" y="7296150"/>
          <a:ext cx="1666875" cy="44767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5</xdr:col>
      <xdr:colOff>23813</xdr:colOff>
      <xdr:row>31</xdr:row>
      <xdr:rowOff>257175</xdr:rowOff>
    </xdr:from>
    <xdr:to>
      <xdr:col>5</xdr:col>
      <xdr:colOff>633413</xdr:colOff>
      <xdr:row>35</xdr:row>
      <xdr:rowOff>42183</xdr:rowOff>
    </xdr:to>
    <xdr:pic>
      <xdr:nvPicPr>
        <xdr:cNvPr id="12" name="Picture 296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976813" y="5400675"/>
          <a:ext cx="609600" cy="1106601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5</xdr:col>
      <xdr:colOff>554039</xdr:colOff>
      <xdr:row>31</xdr:row>
      <xdr:rowOff>266700</xdr:rowOff>
    </xdr:from>
    <xdr:to>
      <xdr:col>5</xdr:col>
      <xdr:colOff>1154114</xdr:colOff>
      <xdr:row>35</xdr:row>
      <xdr:rowOff>42183</xdr:rowOff>
    </xdr:to>
    <xdr:pic>
      <xdr:nvPicPr>
        <xdr:cNvPr id="13" name="Picture 296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5507039" y="5410200"/>
          <a:ext cx="600075" cy="1097076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5</xdr:col>
      <xdr:colOff>1202531</xdr:colOff>
      <xdr:row>31</xdr:row>
      <xdr:rowOff>257175</xdr:rowOff>
    </xdr:from>
    <xdr:to>
      <xdr:col>5</xdr:col>
      <xdr:colOff>1726407</xdr:colOff>
      <xdr:row>35</xdr:row>
      <xdr:rowOff>70758</xdr:rowOff>
    </xdr:to>
    <xdr:pic>
      <xdr:nvPicPr>
        <xdr:cNvPr id="14" name="Picture 296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155531" y="5400675"/>
          <a:ext cx="523876" cy="1135176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5</xdr:col>
      <xdr:colOff>85726</xdr:colOff>
      <xdr:row>50</xdr:row>
      <xdr:rowOff>30957</xdr:rowOff>
    </xdr:from>
    <xdr:to>
      <xdr:col>5</xdr:col>
      <xdr:colOff>412704</xdr:colOff>
      <xdr:row>50</xdr:row>
      <xdr:rowOff>523875</xdr:rowOff>
    </xdr:to>
    <xdr:pic>
      <xdr:nvPicPr>
        <xdr:cNvPr id="15" name="Рисунок 9" descr="MMIK5385-Edit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5038726" y="11460957"/>
          <a:ext cx="326978" cy="4929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521496</xdr:colOff>
      <xdr:row>50</xdr:row>
      <xdr:rowOff>71438</xdr:rowOff>
    </xdr:from>
    <xdr:to>
      <xdr:col>5</xdr:col>
      <xdr:colOff>826296</xdr:colOff>
      <xdr:row>50</xdr:row>
      <xdr:rowOff>519113</xdr:rowOff>
    </xdr:to>
    <xdr:pic>
      <xdr:nvPicPr>
        <xdr:cNvPr id="16" name="Рисунок 2" descr="MMIK5561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5474496" y="11501438"/>
          <a:ext cx="30480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990600</xdr:colOff>
      <xdr:row>50</xdr:row>
      <xdr:rowOff>88107</xdr:rowOff>
    </xdr:from>
    <xdr:to>
      <xdr:col>5</xdr:col>
      <xdr:colOff>1266825</xdr:colOff>
      <xdr:row>50</xdr:row>
      <xdr:rowOff>507207</xdr:rowOff>
    </xdr:to>
    <xdr:pic>
      <xdr:nvPicPr>
        <xdr:cNvPr id="17" name="Рисунок 3" descr="MMIK5300-Edit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5943600" y="11518107"/>
          <a:ext cx="27622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69057</xdr:colOff>
      <xdr:row>51</xdr:row>
      <xdr:rowOff>38100</xdr:rowOff>
    </xdr:from>
    <xdr:to>
      <xdr:col>5</xdr:col>
      <xdr:colOff>440532</xdr:colOff>
      <xdr:row>51</xdr:row>
      <xdr:rowOff>600075</xdr:rowOff>
    </xdr:to>
    <xdr:pic>
      <xdr:nvPicPr>
        <xdr:cNvPr id="18" name="Рисунок 10" descr="MMIK5379-Edit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5022057" y="12039600"/>
          <a:ext cx="371475" cy="56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142875</xdr:colOff>
      <xdr:row>52</xdr:row>
      <xdr:rowOff>28575</xdr:rowOff>
    </xdr:from>
    <xdr:to>
      <xdr:col>5</xdr:col>
      <xdr:colOff>523875</xdr:colOff>
      <xdr:row>52</xdr:row>
      <xdr:rowOff>607218</xdr:rowOff>
    </xdr:to>
    <xdr:pic>
      <xdr:nvPicPr>
        <xdr:cNvPr id="19" name="Рисунок 12" descr="MMIK5396-Edit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5010150" y="9934575"/>
          <a:ext cx="381000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123825</xdr:colOff>
      <xdr:row>53</xdr:row>
      <xdr:rowOff>95250</xdr:rowOff>
    </xdr:from>
    <xdr:to>
      <xdr:col>5</xdr:col>
      <xdr:colOff>542925</xdr:colOff>
      <xdr:row>53</xdr:row>
      <xdr:rowOff>742950</xdr:rowOff>
    </xdr:to>
    <xdr:pic>
      <xdr:nvPicPr>
        <xdr:cNvPr id="20" name="Рисунок 14" descr="MMIK5399-Edit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991100" y="10648950"/>
          <a:ext cx="41910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1228725</xdr:colOff>
      <xdr:row>34</xdr:row>
      <xdr:rowOff>38101</xdr:rowOff>
    </xdr:from>
    <xdr:to>
      <xdr:col>0</xdr:col>
      <xdr:colOff>1697808</xdr:colOff>
      <xdr:row>35</xdr:row>
      <xdr:rowOff>340181</xdr:rowOff>
    </xdr:to>
    <xdr:pic>
      <xdr:nvPicPr>
        <xdr:cNvPr id="21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228725" y="5875565"/>
          <a:ext cx="469083" cy="574222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1209675</xdr:colOff>
      <xdr:row>36</xdr:row>
      <xdr:rowOff>38100</xdr:rowOff>
    </xdr:from>
    <xdr:to>
      <xdr:col>0</xdr:col>
      <xdr:colOff>1714500</xdr:colOff>
      <xdr:row>38</xdr:row>
      <xdr:rowOff>266701</xdr:rowOff>
    </xdr:to>
    <xdr:pic>
      <xdr:nvPicPr>
        <xdr:cNvPr id="22" name="Рисунок 3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209675" y="3838575"/>
          <a:ext cx="504825" cy="71437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47625</xdr:colOff>
      <xdr:row>42</xdr:row>
      <xdr:rowOff>28575</xdr:rowOff>
    </xdr:from>
    <xdr:to>
      <xdr:col>0</xdr:col>
      <xdr:colOff>581025</xdr:colOff>
      <xdr:row>43</xdr:row>
      <xdr:rowOff>342901</xdr:rowOff>
    </xdr:to>
    <xdr:pic>
      <xdr:nvPicPr>
        <xdr:cNvPr id="23" name="Picture 11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7625" y="5391150"/>
          <a:ext cx="533400" cy="7239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638175</xdr:colOff>
      <xdr:row>42</xdr:row>
      <xdr:rowOff>28575</xdr:rowOff>
    </xdr:from>
    <xdr:to>
      <xdr:col>0</xdr:col>
      <xdr:colOff>1181100</xdr:colOff>
      <xdr:row>43</xdr:row>
      <xdr:rowOff>352426</xdr:rowOff>
    </xdr:to>
    <xdr:pic>
      <xdr:nvPicPr>
        <xdr:cNvPr id="24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38175" y="5391150"/>
          <a:ext cx="542925" cy="733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1238250</xdr:colOff>
      <xdr:row>42</xdr:row>
      <xdr:rowOff>38100</xdr:rowOff>
    </xdr:from>
    <xdr:to>
      <xdr:col>0</xdr:col>
      <xdr:colOff>1771650</xdr:colOff>
      <xdr:row>43</xdr:row>
      <xdr:rowOff>371476</xdr:rowOff>
    </xdr:to>
    <xdr:pic>
      <xdr:nvPicPr>
        <xdr:cNvPr id="25" name="Picture 116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238250" y="5400675"/>
          <a:ext cx="533400" cy="7429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47626</xdr:colOff>
      <xdr:row>44</xdr:row>
      <xdr:rowOff>38102</xdr:rowOff>
    </xdr:from>
    <xdr:to>
      <xdr:col>0</xdr:col>
      <xdr:colOff>464239</xdr:colOff>
      <xdr:row>45</xdr:row>
      <xdr:rowOff>214314</xdr:rowOff>
    </xdr:to>
    <xdr:pic>
      <xdr:nvPicPr>
        <xdr:cNvPr id="26" name="Picture 146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7626" y="9324977"/>
          <a:ext cx="416613" cy="5810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609601</xdr:colOff>
      <xdr:row>44</xdr:row>
      <xdr:rowOff>38100</xdr:rowOff>
    </xdr:from>
    <xdr:to>
      <xdr:col>0</xdr:col>
      <xdr:colOff>1047751</xdr:colOff>
      <xdr:row>45</xdr:row>
      <xdr:rowOff>245714</xdr:rowOff>
    </xdr:to>
    <xdr:pic>
      <xdr:nvPicPr>
        <xdr:cNvPr id="27" name="Picture 148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09601" y="9324975"/>
          <a:ext cx="438150" cy="6124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1200150</xdr:colOff>
      <xdr:row>44</xdr:row>
      <xdr:rowOff>26195</xdr:rowOff>
    </xdr:from>
    <xdr:to>
      <xdr:col>0</xdr:col>
      <xdr:colOff>1643063</xdr:colOff>
      <xdr:row>45</xdr:row>
      <xdr:rowOff>238585</xdr:rowOff>
    </xdr:to>
    <xdr:pic>
      <xdr:nvPicPr>
        <xdr:cNvPr id="28" name="Picture 15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200150" y="9313070"/>
          <a:ext cx="442913" cy="6172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49</xdr:row>
      <xdr:rowOff>133350</xdr:rowOff>
    </xdr:from>
    <xdr:to>
      <xdr:col>0</xdr:col>
      <xdr:colOff>1752600</xdr:colOff>
      <xdr:row>50</xdr:row>
      <xdr:rowOff>419100</xdr:rowOff>
    </xdr:to>
    <xdr:pic>
      <xdr:nvPicPr>
        <xdr:cNvPr id="29" name="Picture 152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33350" y="8582025"/>
          <a:ext cx="161925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52</xdr:row>
      <xdr:rowOff>28575</xdr:rowOff>
    </xdr:from>
    <xdr:to>
      <xdr:col>0</xdr:col>
      <xdr:colOff>1800225</xdr:colOff>
      <xdr:row>52</xdr:row>
      <xdr:rowOff>542925</xdr:rowOff>
    </xdr:to>
    <xdr:pic>
      <xdr:nvPicPr>
        <xdr:cNvPr id="30" name="Picture 154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57150" y="9934575"/>
          <a:ext cx="1743075" cy="51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41275</xdr:colOff>
      <xdr:row>48</xdr:row>
      <xdr:rowOff>66675</xdr:rowOff>
    </xdr:from>
    <xdr:to>
      <xdr:col>10</xdr:col>
      <xdr:colOff>736600</xdr:colOff>
      <xdr:row>49</xdr:row>
      <xdr:rowOff>26195</xdr:rowOff>
    </xdr:to>
    <xdr:pic>
      <xdr:nvPicPr>
        <xdr:cNvPr id="31" name="Picture 189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1522075" y="9439275"/>
          <a:ext cx="69532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762000</xdr:colOff>
      <xdr:row>48</xdr:row>
      <xdr:rowOff>76200</xdr:rowOff>
    </xdr:from>
    <xdr:to>
      <xdr:col>10</xdr:col>
      <xdr:colOff>1447800</xdr:colOff>
      <xdr:row>49</xdr:row>
      <xdr:rowOff>26195</xdr:rowOff>
    </xdr:to>
    <xdr:pic>
      <xdr:nvPicPr>
        <xdr:cNvPr id="32" name="Picture 19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2242800" y="9448800"/>
          <a:ext cx="68580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38100</xdr:colOff>
      <xdr:row>33</xdr:row>
      <xdr:rowOff>38100</xdr:rowOff>
    </xdr:from>
    <xdr:to>
      <xdr:col>10</xdr:col>
      <xdr:colOff>581025</xdr:colOff>
      <xdr:row>35</xdr:row>
      <xdr:rowOff>366032</xdr:rowOff>
    </xdr:to>
    <xdr:pic>
      <xdr:nvPicPr>
        <xdr:cNvPr id="33" name="Picture 19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1534775" y="2895600"/>
          <a:ext cx="5429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638175</xdr:colOff>
      <xdr:row>33</xdr:row>
      <xdr:rowOff>38100</xdr:rowOff>
    </xdr:from>
    <xdr:to>
      <xdr:col>10</xdr:col>
      <xdr:colOff>1171575</xdr:colOff>
      <xdr:row>35</xdr:row>
      <xdr:rowOff>366032</xdr:rowOff>
    </xdr:to>
    <xdr:pic>
      <xdr:nvPicPr>
        <xdr:cNvPr id="34" name="Picture 195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2134850" y="2895600"/>
          <a:ext cx="5334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628650</xdr:colOff>
      <xdr:row>36</xdr:row>
      <xdr:rowOff>38100</xdr:rowOff>
    </xdr:from>
    <xdr:to>
      <xdr:col>10</xdr:col>
      <xdr:colOff>1123950</xdr:colOff>
      <xdr:row>38</xdr:row>
      <xdr:rowOff>257176</xdr:rowOff>
    </xdr:to>
    <xdr:pic>
      <xdr:nvPicPr>
        <xdr:cNvPr id="35" name="Picture 2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2125325" y="3838575"/>
          <a:ext cx="4953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66675</xdr:colOff>
      <xdr:row>36</xdr:row>
      <xdr:rowOff>47625</xdr:rowOff>
    </xdr:from>
    <xdr:to>
      <xdr:col>10</xdr:col>
      <xdr:colOff>571500</xdr:colOff>
      <xdr:row>38</xdr:row>
      <xdr:rowOff>257176</xdr:rowOff>
    </xdr:to>
    <xdr:pic>
      <xdr:nvPicPr>
        <xdr:cNvPr id="36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1563350" y="3848100"/>
          <a:ext cx="504825" cy="69532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10</xdr:col>
      <xdr:colOff>758825</xdr:colOff>
      <xdr:row>39</xdr:row>
      <xdr:rowOff>50975</xdr:rowOff>
    </xdr:from>
    <xdr:to>
      <xdr:col>10</xdr:col>
      <xdr:colOff>1401536</xdr:colOff>
      <xdr:row>40</xdr:row>
      <xdr:rowOff>349250</xdr:rowOff>
    </xdr:to>
    <xdr:pic>
      <xdr:nvPicPr>
        <xdr:cNvPr id="37" name="Picture 2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2202432" y="5956475"/>
          <a:ext cx="642711" cy="461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66675</xdr:colOff>
      <xdr:row>41</xdr:row>
      <xdr:rowOff>38100</xdr:rowOff>
    </xdr:from>
    <xdr:to>
      <xdr:col>10</xdr:col>
      <xdr:colOff>752475</xdr:colOff>
      <xdr:row>42</xdr:row>
      <xdr:rowOff>352424</xdr:rowOff>
    </xdr:to>
    <xdr:pic>
      <xdr:nvPicPr>
        <xdr:cNvPr id="38" name="Picture 238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1563350" y="5219700"/>
          <a:ext cx="68580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781050</xdr:colOff>
      <xdr:row>41</xdr:row>
      <xdr:rowOff>38100</xdr:rowOff>
    </xdr:from>
    <xdr:to>
      <xdr:col>11</xdr:col>
      <xdr:colOff>0</xdr:colOff>
      <xdr:row>42</xdr:row>
      <xdr:rowOff>361949</xdr:rowOff>
    </xdr:to>
    <xdr:pic>
      <xdr:nvPicPr>
        <xdr:cNvPr id="39" name="Picture 240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2277725" y="5219700"/>
          <a:ext cx="70485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25400</xdr:colOff>
      <xdr:row>39</xdr:row>
      <xdr:rowOff>38100</xdr:rowOff>
    </xdr:from>
    <xdr:to>
      <xdr:col>10</xdr:col>
      <xdr:colOff>730250</xdr:colOff>
      <xdr:row>40</xdr:row>
      <xdr:rowOff>381000</xdr:rowOff>
    </xdr:to>
    <xdr:pic>
      <xdr:nvPicPr>
        <xdr:cNvPr id="40" name="Picture 242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1506200" y="6146800"/>
          <a:ext cx="704850" cy="50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76200</xdr:colOff>
      <xdr:row>43</xdr:row>
      <xdr:rowOff>28575</xdr:rowOff>
    </xdr:from>
    <xdr:to>
      <xdr:col>10</xdr:col>
      <xdr:colOff>647700</xdr:colOff>
      <xdr:row>43</xdr:row>
      <xdr:rowOff>438150</xdr:rowOff>
    </xdr:to>
    <xdr:pic>
      <xdr:nvPicPr>
        <xdr:cNvPr id="41" name="Picture 244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1572875" y="5800725"/>
          <a:ext cx="57150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762000</xdr:colOff>
      <xdr:row>43</xdr:row>
      <xdr:rowOff>28575</xdr:rowOff>
    </xdr:from>
    <xdr:to>
      <xdr:col>10</xdr:col>
      <xdr:colOff>1343025</xdr:colOff>
      <xdr:row>43</xdr:row>
      <xdr:rowOff>438150</xdr:rowOff>
    </xdr:to>
    <xdr:pic>
      <xdr:nvPicPr>
        <xdr:cNvPr id="42" name="Picture 246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2258675" y="5800725"/>
          <a:ext cx="5810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47625</xdr:colOff>
      <xdr:row>31</xdr:row>
      <xdr:rowOff>38100</xdr:rowOff>
    </xdr:from>
    <xdr:to>
      <xdr:col>10</xdr:col>
      <xdr:colOff>590550</xdr:colOff>
      <xdr:row>32</xdr:row>
      <xdr:rowOff>419101</xdr:rowOff>
    </xdr:to>
    <xdr:pic>
      <xdr:nvPicPr>
        <xdr:cNvPr id="43" name="Picture 29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1544300" y="2019300"/>
          <a:ext cx="542925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647700</xdr:colOff>
      <xdr:row>31</xdr:row>
      <xdr:rowOff>19050</xdr:rowOff>
    </xdr:from>
    <xdr:to>
      <xdr:col>10</xdr:col>
      <xdr:colOff>1190625</xdr:colOff>
      <xdr:row>32</xdr:row>
      <xdr:rowOff>409576</xdr:rowOff>
    </xdr:to>
    <xdr:pic>
      <xdr:nvPicPr>
        <xdr:cNvPr id="44" name="Picture 295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2144375" y="2000250"/>
          <a:ext cx="542925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123826</xdr:colOff>
      <xdr:row>46</xdr:row>
      <xdr:rowOff>47625</xdr:rowOff>
    </xdr:from>
    <xdr:to>
      <xdr:col>10</xdr:col>
      <xdr:colOff>531036</xdr:colOff>
      <xdr:row>47</xdr:row>
      <xdr:rowOff>500062</xdr:rowOff>
    </xdr:to>
    <xdr:pic>
      <xdr:nvPicPr>
        <xdr:cNvPr id="45" name="Picture 297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1803857" y="10072688"/>
          <a:ext cx="40721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638175</xdr:colOff>
      <xdr:row>46</xdr:row>
      <xdr:rowOff>45244</xdr:rowOff>
    </xdr:from>
    <xdr:to>
      <xdr:col>10</xdr:col>
      <xdr:colOff>1035844</xdr:colOff>
      <xdr:row>47</xdr:row>
      <xdr:rowOff>488027</xdr:rowOff>
    </xdr:to>
    <xdr:pic>
      <xdr:nvPicPr>
        <xdr:cNvPr id="46" name="Picture 299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2318206" y="10070307"/>
          <a:ext cx="397669" cy="6094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504827</xdr:colOff>
      <xdr:row>51</xdr:row>
      <xdr:rowOff>76200</xdr:rowOff>
    </xdr:from>
    <xdr:to>
      <xdr:col>5</xdr:col>
      <xdr:colOff>809627</xdr:colOff>
      <xdr:row>51</xdr:row>
      <xdr:rowOff>533400</xdr:rowOff>
    </xdr:to>
    <xdr:pic>
      <xdr:nvPicPr>
        <xdr:cNvPr id="47" name="Рисунок 2" descr="MMIK5561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5457827" y="12077700"/>
          <a:ext cx="304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886620</xdr:colOff>
      <xdr:row>51</xdr:row>
      <xdr:rowOff>102394</xdr:rowOff>
    </xdr:from>
    <xdr:to>
      <xdr:col>5</xdr:col>
      <xdr:colOff>1162845</xdr:colOff>
      <xdr:row>51</xdr:row>
      <xdr:rowOff>511969</xdr:rowOff>
    </xdr:to>
    <xdr:pic>
      <xdr:nvPicPr>
        <xdr:cNvPr id="48" name="Рисунок 3" descr="MMIK5300-Edit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5839620" y="12103894"/>
          <a:ext cx="2762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695325</xdr:colOff>
      <xdr:row>52</xdr:row>
      <xdr:rowOff>95250</xdr:rowOff>
    </xdr:from>
    <xdr:to>
      <xdr:col>5</xdr:col>
      <xdr:colOff>1000125</xdr:colOff>
      <xdr:row>52</xdr:row>
      <xdr:rowOff>542925</xdr:rowOff>
    </xdr:to>
    <xdr:pic>
      <xdr:nvPicPr>
        <xdr:cNvPr id="49" name="Рисунок 2" descr="MMIK5561.jpg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5562600" y="10001250"/>
          <a:ext cx="30480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1104900</xdr:colOff>
      <xdr:row>52</xdr:row>
      <xdr:rowOff>123825</xdr:rowOff>
    </xdr:from>
    <xdr:to>
      <xdr:col>5</xdr:col>
      <xdr:colOff>1381125</xdr:colOff>
      <xdr:row>52</xdr:row>
      <xdr:rowOff>533400</xdr:rowOff>
    </xdr:to>
    <xdr:pic>
      <xdr:nvPicPr>
        <xdr:cNvPr id="50" name="Рисунок 3" descr="MMIK5300-Edit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5972175" y="10029825"/>
          <a:ext cx="2762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685800</xdr:colOff>
      <xdr:row>53</xdr:row>
      <xdr:rowOff>109538</xdr:rowOff>
    </xdr:from>
    <xdr:to>
      <xdr:col>5</xdr:col>
      <xdr:colOff>1076325</xdr:colOff>
      <xdr:row>53</xdr:row>
      <xdr:rowOff>690563</xdr:rowOff>
    </xdr:to>
    <xdr:pic>
      <xdr:nvPicPr>
        <xdr:cNvPr id="51" name="Рисунок 2" descr="MMIK5561.jpg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5638800" y="13361194"/>
          <a:ext cx="39052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1176336</xdr:colOff>
      <xdr:row>53</xdr:row>
      <xdr:rowOff>135731</xdr:rowOff>
    </xdr:from>
    <xdr:to>
      <xdr:col>5</xdr:col>
      <xdr:colOff>1528761</xdr:colOff>
      <xdr:row>53</xdr:row>
      <xdr:rowOff>659606</xdr:rowOff>
    </xdr:to>
    <xdr:pic>
      <xdr:nvPicPr>
        <xdr:cNvPr id="52" name="Рисунок 3" descr="MMIK5300-Edit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129336" y="13387387"/>
          <a:ext cx="35242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123825</xdr:colOff>
      <xdr:row>44</xdr:row>
      <xdr:rowOff>47625</xdr:rowOff>
    </xdr:from>
    <xdr:to>
      <xdr:col>10</xdr:col>
      <xdr:colOff>520406</xdr:colOff>
      <xdr:row>45</xdr:row>
      <xdr:rowOff>217715</xdr:rowOff>
    </xdr:to>
    <xdr:pic>
      <xdr:nvPicPr>
        <xdr:cNvPr id="53" name="Picture 457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1825968" y="9082768"/>
          <a:ext cx="396581" cy="578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745672</xdr:colOff>
      <xdr:row>44</xdr:row>
      <xdr:rowOff>48987</xdr:rowOff>
    </xdr:from>
    <xdr:to>
      <xdr:col>10</xdr:col>
      <xdr:colOff>1169791</xdr:colOff>
      <xdr:row>45</xdr:row>
      <xdr:rowOff>258538</xdr:rowOff>
    </xdr:to>
    <xdr:pic>
      <xdr:nvPicPr>
        <xdr:cNvPr id="54" name="Picture 514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2447815" y="9084130"/>
          <a:ext cx="424119" cy="617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104775</xdr:colOff>
      <xdr:row>50</xdr:row>
      <xdr:rowOff>28576</xdr:rowOff>
    </xdr:from>
    <xdr:to>
      <xdr:col>10</xdr:col>
      <xdr:colOff>465821</xdr:colOff>
      <xdr:row>50</xdr:row>
      <xdr:rowOff>530680</xdr:rowOff>
    </xdr:to>
    <xdr:pic>
      <xdr:nvPicPr>
        <xdr:cNvPr id="55" name="Рисунок 212" descr="1.jpg"/>
        <xdr:cNvPicPr>
          <a:picLocks noChangeAspect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1806918" y="11390540"/>
          <a:ext cx="361046" cy="5021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542926</xdr:colOff>
      <xdr:row>50</xdr:row>
      <xdr:rowOff>28576</xdr:rowOff>
    </xdr:from>
    <xdr:to>
      <xdr:col>10</xdr:col>
      <xdr:colOff>907640</xdr:colOff>
      <xdr:row>50</xdr:row>
      <xdr:rowOff>535781</xdr:rowOff>
    </xdr:to>
    <xdr:pic>
      <xdr:nvPicPr>
        <xdr:cNvPr id="56" name="Рисунок 216" descr="5.jpg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2222957" y="11506201"/>
          <a:ext cx="364714" cy="5072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123825</xdr:colOff>
      <xdr:row>51</xdr:row>
      <xdr:rowOff>47625</xdr:rowOff>
    </xdr:from>
    <xdr:to>
      <xdr:col>10</xdr:col>
      <xdr:colOff>514350</xdr:colOff>
      <xdr:row>51</xdr:row>
      <xdr:rowOff>600075</xdr:rowOff>
    </xdr:to>
    <xdr:pic>
      <xdr:nvPicPr>
        <xdr:cNvPr id="57" name="Рисунок 238" descr="7.jpg"/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1620500" y="9305925"/>
          <a:ext cx="39052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542925</xdr:colOff>
      <xdr:row>51</xdr:row>
      <xdr:rowOff>47625</xdr:rowOff>
    </xdr:from>
    <xdr:to>
      <xdr:col>10</xdr:col>
      <xdr:colOff>933450</xdr:colOff>
      <xdr:row>51</xdr:row>
      <xdr:rowOff>600075</xdr:rowOff>
    </xdr:to>
    <xdr:pic>
      <xdr:nvPicPr>
        <xdr:cNvPr id="58" name="Рисунок 239" descr="8.jpg"/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2039600" y="9305925"/>
          <a:ext cx="39052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428625</xdr:colOff>
      <xdr:row>39</xdr:row>
      <xdr:rowOff>38100</xdr:rowOff>
    </xdr:from>
    <xdr:to>
      <xdr:col>0</xdr:col>
      <xdr:colOff>1038225</xdr:colOff>
      <xdr:row>40</xdr:row>
      <xdr:rowOff>400050</xdr:rowOff>
    </xdr:to>
    <xdr:pic>
      <xdr:nvPicPr>
        <xdr:cNvPr id="59" name="Рисунок 125" descr="013.jpg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428625" y="4648200"/>
          <a:ext cx="609600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45245</xdr:colOff>
      <xdr:row>37</xdr:row>
      <xdr:rowOff>16669</xdr:rowOff>
    </xdr:from>
    <xdr:to>
      <xdr:col>5</xdr:col>
      <xdr:colOff>540545</xdr:colOff>
      <xdr:row>38</xdr:row>
      <xdr:rowOff>292894</xdr:rowOff>
    </xdr:to>
    <xdr:pic>
      <xdr:nvPicPr>
        <xdr:cNvPr id="60" name="Picture 1085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4998245" y="7053263"/>
          <a:ext cx="495300" cy="5976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507209</xdr:colOff>
      <xdr:row>37</xdr:row>
      <xdr:rowOff>19050</xdr:rowOff>
    </xdr:from>
    <xdr:to>
      <xdr:col>5</xdr:col>
      <xdr:colOff>1106910</xdr:colOff>
      <xdr:row>38</xdr:row>
      <xdr:rowOff>285750</xdr:rowOff>
    </xdr:to>
    <xdr:pic>
      <xdr:nvPicPr>
        <xdr:cNvPr id="61" name="Picture 108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5460209" y="7055644"/>
          <a:ext cx="599701" cy="588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1126334</xdr:colOff>
      <xdr:row>37</xdr:row>
      <xdr:rowOff>26194</xdr:rowOff>
    </xdr:from>
    <xdr:to>
      <xdr:col>5</xdr:col>
      <xdr:colOff>1659734</xdr:colOff>
      <xdr:row>38</xdr:row>
      <xdr:rowOff>292894</xdr:rowOff>
    </xdr:to>
    <xdr:pic>
      <xdr:nvPicPr>
        <xdr:cNvPr id="62" name="Picture 1089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079334" y="7062788"/>
          <a:ext cx="533400" cy="588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78582</xdr:colOff>
      <xdr:row>40</xdr:row>
      <xdr:rowOff>369094</xdr:rowOff>
    </xdr:from>
    <xdr:to>
      <xdr:col>5</xdr:col>
      <xdr:colOff>1662643</xdr:colOff>
      <xdr:row>44</xdr:row>
      <xdr:rowOff>154780</xdr:rowOff>
    </xdr:to>
    <xdr:pic>
      <xdr:nvPicPr>
        <xdr:cNvPr id="63" name="Picture 1091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5031582" y="8215313"/>
          <a:ext cx="1584061" cy="12263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85725</xdr:colOff>
      <xdr:row>52</xdr:row>
      <xdr:rowOff>41275</xdr:rowOff>
    </xdr:from>
    <xdr:to>
      <xdr:col>10</xdr:col>
      <xdr:colOff>471027</xdr:colOff>
      <xdr:row>52</xdr:row>
      <xdr:rowOff>584200</xdr:rowOff>
    </xdr:to>
    <xdr:pic>
      <xdr:nvPicPr>
        <xdr:cNvPr id="6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1566525" y="11445875"/>
          <a:ext cx="385302" cy="5429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561975</xdr:colOff>
      <xdr:row>52</xdr:row>
      <xdr:rowOff>51304</xdr:rowOff>
    </xdr:from>
    <xdr:to>
      <xdr:col>10</xdr:col>
      <xdr:colOff>925286</xdr:colOff>
      <xdr:row>52</xdr:row>
      <xdr:rowOff>571500</xdr:rowOff>
    </xdr:to>
    <xdr:pic>
      <xdr:nvPicPr>
        <xdr:cNvPr id="65" name="Рисунок 201" descr="12.jp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2264118" y="12665125"/>
          <a:ext cx="363311" cy="5201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152400</xdr:colOff>
      <xdr:row>53</xdr:row>
      <xdr:rowOff>57150</xdr:rowOff>
    </xdr:from>
    <xdr:to>
      <xdr:col>10</xdr:col>
      <xdr:colOff>409575</xdr:colOff>
      <xdr:row>53</xdr:row>
      <xdr:rowOff>809625</xdr:rowOff>
    </xdr:to>
    <xdr:pic>
      <xdr:nvPicPr>
        <xdr:cNvPr id="66" name="Рисунок 283" descr="ИЗШ 005.jp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1649075" y="10610850"/>
          <a:ext cx="2571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142876</xdr:colOff>
      <xdr:row>47</xdr:row>
      <xdr:rowOff>25400</xdr:rowOff>
    </xdr:from>
    <xdr:to>
      <xdr:col>5</xdr:col>
      <xdr:colOff>464506</xdr:colOff>
      <xdr:row>47</xdr:row>
      <xdr:rowOff>511969</xdr:rowOff>
    </xdr:to>
    <xdr:pic>
      <xdr:nvPicPr>
        <xdr:cNvPr id="67" name="Picture 2127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655470" y="11943556"/>
          <a:ext cx="321630" cy="486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638176</xdr:colOff>
      <xdr:row>47</xdr:row>
      <xdr:rowOff>25400</xdr:rowOff>
    </xdr:from>
    <xdr:to>
      <xdr:col>5</xdr:col>
      <xdr:colOff>975546</xdr:colOff>
      <xdr:row>47</xdr:row>
      <xdr:rowOff>535781</xdr:rowOff>
    </xdr:to>
    <xdr:pic>
      <xdr:nvPicPr>
        <xdr:cNvPr id="68" name="Picture 2129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5674520" y="10217150"/>
          <a:ext cx="337370" cy="5103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1143001</xdr:colOff>
      <xdr:row>47</xdr:row>
      <xdr:rowOff>25400</xdr:rowOff>
    </xdr:from>
    <xdr:to>
      <xdr:col>5</xdr:col>
      <xdr:colOff>1480371</xdr:colOff>
      <xdr:row>47</xdr:row>
      <xdr:rowOff>535781</xdr:rowOff>
    </xdr:to>
    <xdr:pic>
      <xdr:nvPicPr>
        <xdr:cNvPr id="69" name="Picture 2131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179345" y="10217150"/>
          <a:ext cx="337370" cy="5103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142875</xdr:colOff>
      <xdr:row>48</xdr:row>
      <xdr:rowOff>28576</xdr:rowOff>
    </xdr:from>
    <xdr:to>
      <xdr:col>5</xdr:col>
      <xdr:colOff>476250</xdr:colOff>
      <xdr:row>48</xdr:row>
      <xdr:rowOff>519378</xdr:rowOff>
    </xdr:to>
    <xdr:pic>
      <xdr:nvPicPr>
        <xdr:cNvPr id="70" name="Picture 2133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5179219" y="10803732"/>
          <a:ext cx="333375" cy="4908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647700</xdr:colOff>
      <xdr:row>48</xdr:row>
      <xdr:rowOff>28575</xdr:rowOff>
    </xdr:from>
    <xdr:to>
      <xdr:col>5</xdr:col>
      <xdr:colOff>952500</xdr:colOff>
      <xdr:row>48</xdr:row>
      <xdr:rowOff>477308</xdr:rowOff>
    </xdr:to>
    <xdr:pic>
      <xdr:nvPicPr>
        <xdr:cNvPr id="71" name="Picture 2135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5684044" y="10803731"/>
          <a:ext cx="304800" cy="448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1171575</xdr:colOff>
      <xdr:row>48</xdr:row>
      <xdr:rowOff>38100</xdr:rowOff>
    </xdr:from>
    <xdr:to>
      <xdr:col>5</xdr:col>
      <xdr:colOff>1485361</xdr:colOff>
      <xdr:row>48</xdr:row>
      <xdr:rowOff>500063</xdr:rowOff>
    </xdr:to>
    <xdr:pic>
      <xdr:nvPicPr>
        <xdr:cNvPr id="72" name="Picture 2137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207919" y="10813256"/>
          <a:ext cx="313786" cy="4619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485775</xdr:colOff>
      <xdr:row>53</xdr:row>
      <xdr:rowOff>47625</xdr:rowOff>
    </xdr:from>
    <xdr:to>
      <xdr:col>10</xdr:col>
      <xdr:colOff>733425</xdr:colOff>
      <xdr:row>53</xdr:row>
      <xdr:rowOff>800100</xdr:rowOff>
    </xdr:to>
    <xdr:pic>
      <xdr:nvPicPr>
        <xdr:cNvPr id="73" name="Picture 213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1982450" y="10601325"/>
          <a:ext cx="2476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828675</xdr:colOff>
      <xdr:row>53</xdr:row>
      <xdr:rowOff>47625</xdr:rowOff>
    </xdr:from>
    <xdr:to>
      <xdr:col>10</xdr:col>
      <xdr:colOff>1076325</xdr:colOff>
      <xdr:row>53</xdr:row>
      <xdr:rowOff>790575</xdr:rowOff>
    </xdr:to>
    <xdr:pic>
      <xdr:nvPicPr>
        <xdr:cNvPr id="74" name="Picture 2141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2325350" y="10601325"/>
          <a:ext cx="2476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1343025</xdr:colOff>
      <xdr:row>50</xdr:row>
      <xdr:rowOff>71439</xdr:rowOff>
    </xdr:from>
    <xdr:to>
      <xdr:col>5</xdr:col>
      <xdr:colOff>1619250</xdr:colOff>
      <xdr:row>50</xdr:row>
      <xdr:rowOff>490539</xdr:rowOff>
    </xdr:to>
    <xdr:pic>
      <xdr:nvPicPr>
        <xdr:cNvPr id="75" name="Рисунок 3" descr="MMIK5300-Edit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296025" y="11501439"/>
          <a:ext cx="27622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1389858</xdr:colOff>
      <xdr:row>51</xdr:row>
      <xdr:rowOff>104775</xdr:rowOff>
    </xdr:from>
    <xdr:to>
      <xdr:col>5</xdr:col>
      <xdr:colOff>1666083</xdr:colOff>
      <xdr:row>51</xdr:row>
      <xdr:rowOff>514350</xdr:rowOff>
    </xdr:to>
    <xdr:pic>
      <xdr:nvPicPr>
        <xdr:cNvPr id="76" name="Рисунок 3" descr="MMIK5300-Edit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342858" y="12106275"/>
          <a:ext cx="2762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1150939</xdr:colOff>
      <xdr:row>51</xdr:row>
      <xdr:rowOff>104775</xdr:rowOff>
    </xdr:from>
    <xdr:to>
      <xdr:col>5</xdr:col>
      <xdr:colOff>1427164</xdr:colOff>
      <xdr:row>51</xdr:row>
      <xdr:rowOff>514350</xdr:rowOff>
    </xdr:to>
    <xdr:pic>
      <xdr:nvPicPr>
        <xdr:cNvPr id="77" name="Рисунок 3" descr="MMIK5300-Edit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103939" y="12106275"/>
          <a:ext cx="2762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243237</xdr:colOff>
      <xdr:row>4</xdr:row>
      <xdr:rowOff>25400</xdr:rowOff>
    </xdr:to>
    <xdr:pic>
      <xdr:nvPicPr>
        <xdr:cNvPr id="7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0"/>
          <a:ext cx="4196376" cy="9144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317498</xdr:colOff>
      <xdr:row>7</xdr:row>
      <xdr:rowOff>42334</xdr:rowOff>
    </xdr:from>
    <xdr:to>
      <xdr:col>6</xdr:col>
      <xdr:colOff>2379720</xdr:colOff>
      <xdr:row>9</xdr:row>
      <xdr:rowOff>248180</xdr:rowOff>
    </xdr:to>
    <xdr:pic>
      <xdr:nvPicPr>
        <xdr:cNvPr id="86" name="Рисунок 85" descr="д1.jpg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7482415" y="1672167"/>
          <a:ext cx="2062222" cy="878417"/>
        </a:xfrm>
        <a:prstGeom prst="rect">
          <a:avLst/>
        </a:prstGeom>
      </xdr:spPr>
    </xdr:pic>
    <xdr:clientData/>
  </xdr:twoCellAnchor>
  <xdr:twoCellAnchor editAs="oneCell">
    <xdr:from>
      <xdr:col>6</xdr:col>
      <xdr:colOff>105836</xdr:colOff>
      <xdr:row>11</xdr:row>
      <xdr:rowOff>137583</xdr:rowOff>
    </xdr:from>
    <xdr:to>
      <xdr:col>6</xdr:col>
      <xdr:colOff>2712277</xdr:colOff>
      <xdr:row>20</xdr:row>
      <xdr:rowOff>74083</xdr:rowOff>
    </xdr:to>
    <xdr:pic>
      <xdr:nvPicPr>
        <xdr:cNvPr id="81" name="Рисунок 80" descr="DSC04846 copy.jpg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7270753" y="2931583"/>
          <a:ext cx="2606441" cy="1735667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absolute">
    <xdr:from>
      <xdr:col>10</xdr:col>
      <xdr:colOff>12707</xdr:colOff>
      <xdr:row>10</xdr:row>
      <xdr:rowOff>1582</xdr:rowOff>
    </xdr:from>
    <xdr:to>
      <xdr:col>19</xdr:col>
      <xdr:colOff>149232</xdr:colOff>
      <xdr:row>28</xdr:row>
      <xdr:rowOff>71424</xdr:rowOff>
    </xdr:to>
    <xdr:grpSp>
      <xdr:nvGrpSpPr>
        <xdr:cNvPr id="2" name="Группа 1"/>
        <xdr:cNvGrpSpPr>
          <a:grpSpLocks/>
        </xdr:cNvGrpSpPr>
      </xdr:nvGrpSpPr>
      <xdr:grpSpPr bwMode="auto">
        <a:xfrm>
          <a:off x="31660041" y="3307999"/>
          <a:ext cx="9714120" cy="7031193"/>
          <a:chOff x="11307907" y="1956955"/>
          <a:chExt cx="5858741" cy="5430981"/>
        </a:xfrm>
      </xdr:grpSpPr>
      <xdr:sp macro="" textlink="">
        <xdr:nvSpPr>
          <xdr:cNvPr id="3" name="TextBox 2"/>
          <xdr:cNvSpPr txBox="1">
            <a:spLocks noChangeArrowheads="1"/>
          </xdr:cNvSpPr>
        </xdr:nvSpPr>
        <xdr:spPr bwMode="auto">
          <a:xfrm>
            <a:off x="11307907" y="1956955"/>
            <a:ext cx="5858741" cy="5430981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rgbClr val="000000">
                <a:alpha val="59999"/>
              </a:srgbClr>
            </a:outerShdw>
          </a:effectLst>
        </xdr:spPr>
        <xdr:txBody>
          <a:bodyPr vertOverflow="clip" wrap="square" lIns="27432" tIns="0" rIns="0" bIns="22860" anchor="b" upright="1"/>
          <a:lstStyle/>
          <a:p>
            <a:pPr algn="l" rtl="0">
              <a:defRPr sz="1000"/>
            </a:pP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1.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Устойчив к выцветанию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- уникальная запатентованная система защиты </a:t>
            </a:r>
            <a:r>
              <a:rPr lang="en-US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SunProof</a:t>
            </a:r>
          </a:p>
          <a:p>
            <a:pPr algn="l" rtl="0">
              <a:defRPr sz="1000"/>
            </a:pPr>
            <a:r>
              <a:rPr lang="en-US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2.</a:t>
            </a:r>
            <a:r>
              <a:rPr lang="en-US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Повышенная ударопрочность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- уникальная рецептура </a:t>
            </a:r>
            <a:r>
              <a:rPr lang="en-US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ShockProof 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защищена патентом</a:t>
            </a:r>
          </a:p>
          <a:p>
            <a:pPr algn="l" rtl="0">
              <a:defRPr sz="1000"/>
            </a:pP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3. Идеальный замок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= максимальная ураганостойкость + экономия времени монтажа примерно в 2 раза</a:t>
            </a:r>
          </a:p>
          <a:p>
            <a:pPr algn="l" rtl="0">
              <a:defRPr sz="1000"/>
            </a:pP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4.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Фирменная письменная гарантия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</a:p>
          <a:p>
            <a:pPr algn="l" rtl="0">
              <a:defRPr sz="1000"/>
            </a:pP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50  лет  на отсутствие деформаций и неравмомерного выцветания, </a:t>
            </a:r>
          </a:p>
          <a:p>
            <a:pPr algn="l" rtl="0">
              <a:defRPr sz="1000"/>
            </a:pP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9 лет  на стабильность цветов.</a:t>
            </a:r>
          </a:p>
          <a:p>
            <a:pPr algn="l" rtl="0">
              <a:defRPr sz="1000"/>
            </a:pP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5. Отличные грязеотталкивающие свойства 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- не накапливает статическое электричество и отталкивает все естественные микрочастички от своей поверхности</a:t>
            </a:r>
          </a:p>
        </xdr:txBody>
      </xdr:sp>
      <xdr:pic>
        <xdr:nvPicPr>
          <xdr:cNvPr id="4" name="Рисунок 5"/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/>
          <a:stretch>
            <a:fillRect/>
          </a:stretch>
        </xdr:blipFill>
        <xdr:spPr bwMode="auto">
          <a:xfrm>
            <a:off x="12661544" y="2526214"/>
            <a:ext cx="2572616" cy="214139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sp macro="" textlink="">
        <xdr:nvSpPr>
          <xdr:cNvPr id="5" name="TextBox 4"/>
          <xdr:cNvSpPr txBox="1">
            <a:spLocks noChangeArrowheads="1"/>
          </xdr:cNvSpPr>
        </xdr:nvSpPr>
        <xdr:spPr bwMode="auto">
          <a:xfrm>
            <a:off x="11357140" y="1988132"/>
            <a:ext cx="5778737" cy="455180"/>
          </a:xfrm>
          <a:prstGeom prst="rect">
            <a:avLst/>
          </a:prstGeom>
          <a:solidFill>
            <a:srgbClr val="C00000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28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Виниловый Сайдинг </a:t>
            </a:r>
            <a:r>
              <a:rPr lang="en-US" sz="28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Grand Line</a:t>
            </a:r>
          </a:p>
        </xdr:txBody>
      </xdr:sp>
    </xdr:grpSp>
    <xdr:clientData/>
  </xdr:twoCellAnchor>
  <xdr:twoCellAnchor editAs="absolute">
    <xdr:from>
      <xdr:col>10</xdr:col>
      <xdr:colOff>31760</xdr:colOff>
      <xdr:row>28</xdr:row>
      <xdr:rowOff>92584</xdr:rowOff>
    </xdr:from>
    <xdr:to>
      <xdr:col>19</xdr:col>
      <xdr:colOff>173045</xdr:colOff>
      <xdr:row>44</xdr:row>
      <xdr:rowOff>47612</xdr:rowOff>
    </xdr:to>
    <xdr:grpSp>
      <xdr:nvGrpSpPr>
        <xdr:cNvPr id="6" name="Группа 2"/>
        <xdr:cNvGrpSpPr>
          <a:grpSpLocks/>
        </xdr:cNvGrpSpPr>
      </xdr:nvGrpSpPr>
      <xdr:grpSpPr bwMode="auto">
        <a:xfrm>
          <a:off x="31679856" y="10360733"/>
          <a:ext cx="9720404" cy="5282783"/>
          <a:chOff x="11315382" y="7457152"/>
          <a:chExt cx="5864254" cy="5233612"/>
        </a:xfrm>
      </xdr:grpSpPr>
      <xdr:sp macro="" textlink="">
        <xdr:nvSpPr>
          <xdr:cNvPr id="7" name="TextBox 11"/>
          <xdr:cNvSpPr txBox="1">
            <a:spLocks noChangeArrowheads="1"/>
          </xdr:cNvSpPr>
        </xdr:nvSpPr>
        <xdr:spPr bwMode="auto">
          <a:xfrm>
            <a:off x="11317432" y="7464136"/>
            <a:ext cx="5862204" cy="5226628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rgbClr val="000000">
                <a:alpha val="59999"/>
              </a:srgbClr>
            </a:outerShdw>
          </a:effectLst>
        </xdr:spPr>
        <xdr:txBody>
          <a:bodyPr vertOverflow="clip" wrap="square" lIns="27432" tIns="0" rIns="0" bIns="22860" anchor="b" upright="1"/>
          <a:lstStyle/>
          <a:p>
            <a:pPr algn="l" rtl="0">
              <a:defRPr sz="1000"/>
            </a:pP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1.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Фирменная письменная гарантия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- 10  лет на полимерное покрытие </a:t>
            </a:r>
          </a:p>
          <a:p>
            <a:pPr algn="l" rtl="0">
              <a:defRPr sz="1000"/>
            </a:pP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2.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Столб увеличенной прочности 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- технология профилировки с замком "</a:t>
            </a:r>
            <a:r>
              <a:rPr lang="en-US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seam lock"</a:t>
            </a:r>
          </a:p>
          <a:p>
            <a:pPr algn="l" rtl="0">
              <a:defRPr sz="1000"/>
            </a:pPr>
            <a:r>
              <a:rPr lang="en-US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3. </a:t>
            </a: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Защищено цинком и полимером с обеих сторон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- цинкование по </a:t>
            </a:r>
            <a:r>
              <a:rPr lang="en-US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DIN 1548 (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ГОСТ 3282)</a:t>
            </a:r>
          </a:p>
          <a:p>
            <a:pPr algn="l" rtl="0">
              <a:defRPr sz="1000"/>
            </a:pP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4.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Ворота и калитки комплектуются замками </a:t>
            </a:r>
            <a:r>
              <a:rPr lang="en-US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LOCINOX </a:t>
            </a: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и фурнитурой из нержавеющей стали</a:t>
            </a:r>
            <a:r>
              <a:rPr lang="ru-RU" sz="2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</a:p>
          <a:p>
            <a:pPr algn="l" rtl="0">
              <a:defRPr sz="1000"/>
            </a:pPr>
            <a:r>
              <a:rPr lang="ru-RU" sz="2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5. Эстетичный внешний вид с обеих сторон</a:t>
            </a:r>
          </a:p>
        </xdr:txBody>
      </xdr:sp>
      <xdr:sp macro="" textlink="">
        <xdr:nvSpPr>
          <xdr:cNvPr id="8" name="TextBox 12"/>
          <xdr:cNvSpPr txBox="1">
            <a:spLocks noChangeArrowheads="1"/>
          </xdr:cNvSpPr>
        </xdr:nvSpPr>
        <xdr:spPr bwMode="auto">
          <a:xfrm>
            <a:off x="11315382" y="7457152"/>
            <a:ext cx="5830541" cy="518881"/>
          </a:xfrm>
          <a:prstGeom prst="rect">
            <a:avLst/>
          </a:prstGeom>
          <a:solidFill>
            <a:srgbClr val="C00000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28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Модульные Ограждения  </a:t>
            </a:r>
            <a:r>
              <a:rPr lang="en-US" sz="28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Grand Line</a:t>
            </a:r>
          </a:p>
        </xdr:txBody>
      </xdr:sp>
      <xdr:pic>
        <xdr:nvPicPr>
          <xdr:cNvPr id="9" name="Рисунок 14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/>
          <a:stretch>
            <a:fillRect/>
          </a:stretch>
        </xdr:blipFill>
        <xdr:spPr bwMode="auto">
          <a:xfrm>
            <a:off x="11385412" y="8014806"/>
            <a:ext cx="1499927" cy="172922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0" name="Рисунок 17"/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rcRect/>
          <a:stretch>
            <a:fillRect/>
          </a:stretch>
        </xdr:blipFill>
        <xdr:spPr bwMode="auto">
          <a:xfrm>
            <a:off x="12845284" y="8244760"/>
            <a:ext cx="1440704" cy="170064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1" name="Рисунок 16"/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rcRect/>
          <a:stretch>
            <a:fillRect/>
          </a:stretch>
        </xdr:blipFill>
        <xdr:spPr bwMode="auto">
          <a:xfrm>
            <a:off x="14248306" y="8572500"/>
            <a:ext cx="1438332" cy="16434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" name="Рисунок 15"/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rcRect/>
          <a:stretch>
            <a:fillRect/>
          </a:stretch>
        </xdr:blipFill>
        <xdr:spPr bwMode="auto">
          <a:xfrm>
            <a:off x="15694801" y="8770793"/>
            <a:ext cx="1438665" cy="163397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109088</xdr:colOff>
      <xdr:row>8</xdr:row>
      <xdr:rowOff>95250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0"/>
          <a:ext cx="12348713" cy="2690813"/>
        </a:xfrm>
        <a:prstGeom prst="rect">
          <a:avLst/>
        </a:prstGeom>
        <a:noFill/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668213</xdr:colOff>
      <xdr:row>5</xdr:row>
      <xdr:rowOff>38100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4240088" cy="1000125"/>
        </a:xfrm>
        <a:prstGeom prst="rect">
          <a:avLst/>
        </a:prstGeom>
        <a:noFill/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668213</xdr:colOff>
      <xdr:row>6</xdr:row>
      <xdr:rowOff>28575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4240088" cy="1000125"/>
        </a:xfrm>
        <a:prstGeom prst="rect">
          <a:avLst/>
        </a:prstGeom>
        <a:noFill/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668213</xdr:colOff>
      <xdr:row>6</xdr:row>
      <xdr:rowOff>28575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4240088" cy="1000125"/>
        </a:xfrm>
        <a:prstGeom prst="rect">
          <a:avLst/>
        </a:prstGeom>
        <a:noFill/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absolute">
    <xdr:from>
      <xdr:col>11</xdr:col>
      <xdr:colOff>28603</xdr:colOff>
      <xdr:row>9</xdr:row>
      <xdr:rowOff>9509</xdr:rowOff>
    </xdr:from>
    <xdr:to>
      <xdr:col>18</xdr:col>
      <xdr:colOff>500081</xdr:colOff>
      <xdr:row>26</xdr:row>
      <xdr:rowOff>180959</xdr:rowOff>
    </xdr:to>
    <xdr:grpSp>
      <xdr:nvGrpSpPr>
        <xdr:cNvPr id="3" name="Группа 7"/>
        <xdr:cNvGrpSpPr>
          <a:grpSpLocks/>
        </xdr:cNvGrpSpPr>
      </xdr:nvGrpSpPr>
      <xdr:grpSpPr bwMode="auto">
        <a:xfrm>
          <a:off x="35501608" y="3031728"/>
          <a:ext cx="5466642" cy="6935216"/>
          <a:chOff x="12029448" y="2191223"/>
          <a:chExt cx="2704349" cy="5258274"/>
        </a:xfrm>
      </xdr:grpSpPr>
      <xdr:sp macro="" textlink="">
        <xdr:nvSpPr>
          <xdr:cNvPr id="4" name="TextBox 3"/>
          <xdr:cNvSpPr txBox="1">
            <a:spLocks noChangeArrowheads="1"/>
          </xdr:cNvSpPr>
        </xdr:nvSpPr>
        <xdr:spPr bwMode="auto">
          <a:xfrm>
            <a:off x="12029448" y="2191223"/>
            <a:ext cx="2704349" cy="5258274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rgbClr val="000000">
                <a:alpha val="39999"/>
              </a:srgbClr>
            </a:outerShdw>
          </a:effectLst>
        </xdr:spPr>
        <xdr:txBody>
          <a:bodyPr vertOverflow="clip" wrap="square" lIns="27432" tIns="0" rIns="0" bIns="22860" anchor="ctr" upright="1"/>
          <a:lstStyle/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2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2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ru-RU" sz="2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Защитные козырьки из поликарбоната являются не только украшением вашего дома или офиса, но и надёжной защитой от дождя, снега и града.</a:t>
            </a:r>
          </a:p>
          <a:p>
            <a:pPr algn="l" rtl="0">
              <a:defRPr sz="1000"/>
            </a:pPr>
            <a:r>
              <a:rPr lang="ru-RU" sz="2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Преимущества:</a:t>
            </a:r>
          </a:p>
          <a:p>
            <a:pPr algn="l" rtl="0">
              <a:defRPr sz="1000"/>
            </a:pPr>
            <a:r>
              <a:rPr lang="ru-RU" sz="2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-не подвержен коррозии;</a:t>
            </a:r>
          </a:p>
          <a:p>
            <a:pPr algn="l" rtl="0">
              <a:defRPr sz="1000"/>
            </a:pPr>
            <a:r>
              <a:rPr lang="ru-RU" sz="2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-выдерживает снеговую нагрузку;</a:t>
            </a:r>
          </a:p>
          <a:p>
            <a:pPr algn="l" rtl="0">
              <a:defRPr sz="1000"/>
            </a:pPr>
            <a:r>
              <a:rPr lang="ru-RU" sz="2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-пропускает солнечный свет;</a:t>
            </a:r>
          </a:p>
          <a:p>
            <a:pPr algn="l" rtl="0">
              <a:defRPr sz="1000"/>
            </a:pPr>
            <a:r>
              <a:rPr lang="ru-RU" sz="2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-отражает ультрафиолетовые лучи;</a:t>
            </a:r>
          </a:p>
          <a:p>
            <a:pPr algn="l" rtl="0">
              <a:defRPr sz="1000"/>
            </a:pPr>
            <a:r>
              <a:rPr lang="ru-RU" sz="2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легкость конструкции;</a:t>
            </a:r>
          </a:p>
          <a:p>
            <a:pPr algn="l" rtl="0">
              <a:defRPr sz="1000"/>
            </a:pPr>
            <a:r>
              <a:rPr lang="ru-RU" sz="2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возможность сборки 1+1;</a:t>
            </a:r>
          </a:p>
          <a:p>
            <a:pPr algn="l" rtl="0">
              <a:defRPr sz="1000"/>
            </a:pPr>
            <a:r>
              <a:rPr lang="ru-RU" sz="2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-простота монтажа.</a:t>
            </a:r>
          </a:p>
          <a:p>
            <a:pPr algn="l" rtl="0">
              <a:defRPr sz="1000"/>
            </a:pPr>
            <a:endParaRPr lang="ru-RU" sz="20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2200" b="1">
              <a:latin typeface="Arial" pitchFamily="34" charset="0"/>
              <a:ea typeface="+mn-ea"/>
              <a:cs typeface="Arial" pitchFamily="34" charset="0"/>
            </a:endParaRPr>
          </a:p>
          <a:p>
            <a:pPr algn="l" rtl="0">
              <a:defRPr sz="1000"/>
            </a:pPr>
            <a:endParaRPr lang="ru-RU" sz="2200" b="1">
              <a:latin typeface="Arial" pitchFamily="34" charset="0"/>
              <a:ea typeface="+mn-ea"/>
              <a:cs typeface="Arial" pitchFamily="34" charset="0"/>
            </a:endParaRPr>
          </a:p>
          <a:p>
            <a:pPr algn="l" rtl="0">
              <a:defRPr sz="1000"/>
            </a:pPr>
            <a:endParaRPr lang="ru-RU" sz="2200" b="1">
              <a:latin typeface="Arial" pitchFamily="34" charset="0"/>
              <a:ea typeface="+mn-ea"/>
              <a:cs typeface="Arial" pitchFamily="34" charset="0"/>
            </a:endParaRPr>
          </a:p>
          <a:p>
            <a:pPr algn="l" rtl="0">
              <a:defRPr sz="1000"/>
            </a:pPr>
            <a:endParaRPr lang="ru-RU" sz="2200" b="1" i="0" u="none" strike="noStrike" baseline="0">
              <a:solidFill>
                <a:srgbClr val="000000"/>
              </a:solidFill>
              <a:latin typeface="Arial" pitchFamily="34" charset="0"/>
              <a:cs typeface="Arial" pitchFamily="34" charset="0"/>
            </a:endParaRPr>
          </a:p>
        </xdr:txBody>
      </xdr:sp>
      <xdr:sp macro="" textlink="">
        <xdr:nvSpPr>
          <xdr:cNvPr id="5" name="TextBox 4"/>
          <xdr:cNvSpPr txBox="1">
            <a:spLocks noChangeArrowheads="1"/>
          </xdr:cNvSpPr>
        </xdr:nvSpPr>
        <xdr:spPr bwMode="auto">
          <a:xfrm>
            <a:off x="12044134" y="2205189"/>
            <a:ext cx="2665387" cy="684344"/>
          </a:xfrm>
          <a:prstGeom prst="rect">
            <a:avLst/>
          </a:prstGeom>
          <a:solidFill>
            <a:srgbClr val="C00000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24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Защитные козырьки </a:t>
            </a:r>
            <a:r>
              <a:rPr lang="en-US" sz="24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Krovent</a:t>
            </a:r>
          </a:p>
        </xdr:txBody>
      </xdr:sp>
    </xdr:grpSp>
    <xdr:clientData/>
  </xdr:twoCellAnchor>
  <xdr:twoCellAnchor editAs="oneCell">
    <xdr:from>
      <xdr:col>11</xdr:col>
      <xdr:colOff>795329</xdr:colOff>
      <xdr:row>9</xdr:row>
      <xdr:rowOff>1100139</xdr:rowOff>
    </xdr:from>
    <xdr:to>
      <xdr:col>17</xdr:col>
      <xdr:colOff>223829</xdr:colOff>
      <xdr:row>15</xdr:row>
      <xdr:rowOff>185740</xdr:rowOff>
    </xdr:to>
    <xdr:pic>
      <xdr:nvPicPr>
        <xdr:cNvPr id="6" name="Рисунок 10" descr="козырек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037454" y="4886327"/>
          <a:ext cx="3476625" cy="2014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absolute">
    <xdr:from>
      <xdr:col>11</xdr:col>
      <xdr:colOff>4728</xdr:colOff>
      <xdr:row>26</xdr:row>
      <xdr:rowOff>209532</xdr:rowOff>
    </xdr:from>
    <xdr:to>
      <xdr:col>18</xdr:col>
      <xdr:colOff>523892</xdr:colOff>
      <xdr:row>46</xdr:row>
      <xdr:rowOff>142859</xdr:rowOff>
    </xdr:to>
    <xdr:grpSp>
      <xdr:nvGrpSpPr>
        <xdr:cNvPr id="7" name="Группа 7"/>
        <xdr:cNvGrpSpPr>
          <a:grpSpLocks/>
        </xdr:cNvGrpSpPr>
      </xdr:nvGrpSpPr>
      <xdr:grpSpPr bwMode="auto">
        <a:xfrm>
          <a:off x="35475828" y="9994374"/>
          <a:ext cx="5516995" cy="6959094"/>
          <a:chOff x="12017310" y="1356092"/>
          <a:chExt cx="2951971" cy="5912637"/>
        </a:xfrm>
      </xdr:grpSpPr>
      <xdr:sp macro="" textlink="">
        <xdr:nvSpPr>
          <xdr:cNvPr id="8" name="TextBox 7"/>
          <xdr:cNvSpPr txBox="1">
            <a:spLocks noChangeArrowheads="1"/>
          </xdr:cNvSpPr>
        </xdr:nvSpPr>
        <xdr:spPr bwMode="auto">
          <a:xfrm>
            <a:off x="12017310" y="1356092"/>
            <a:ext cx="2951971" cy="5912637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rgbClr val="000000">
                <a:alpha val="39999"/>
              </a:srgbClr>
            </a:outerShdw>
          </a:effectLst>
        </xdr:spPr>
        <xdr:txBody>
          <a:bodyPr vertOverflow="clip" wrap="square" lIns="27432" tIns="0" rIns="0" bIns="22860" anchor="ctr" upright="1"/>
          <a:lstStyle/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rtl="0"/>
            <a:r>
              <a:rPr lang="ru-RU" sz="2200" b="1" baseline="0" smtClean="0">
                <a:latin typeface="Arial" pitchFamily="34" charset="0"/>
                <a:ea typeface="+mn-ea"/>
                <a:cs typeface="Arial" pitchFamily="34" charset="0"/>
              </a:rPr>
              <a:t>Кровельный герметик </a:t>
            </a:r>
            <a:r>
              <a:rPr lang="en-US" sz="2200" b="1" baseline="0" smtClean="0">
                <a:latin typeface="Arial" pitchFamily="34" charset="0"/>
                <a:ea typeface="+mn-ea"/>
                <a:cs typeface="Arial" pitchFamily="34" charset="0"/>
              </a:rPr>
              <a:t>Tytan </a:t>
            </a:r>
            <a:r>
              <a:rPr lang="ru-RU" sz="2200" b="1" baseline="0" smtClean="0">
                <a:latin typeface="Arial" pitchFamily="34" charset="0"/>
                <a:ea typeface="+mn-ea"/>
                <a:cs typeface="Arial" pitchFamily="34" charset="0"/>
              </a:rPr>
              <a:t>применяется для заполнения швов и зазоров между разнородными материалами (бетон-металл, пластик-металл, металл-стекло, камень-древесина).</a:t>
            </a:r>
          </a:p>
          <a:p>
            <a:pPr rtl="0"/>
            <a:r>
              <a:rPr lang="ru-RU" sz="2200" b="1" baseline="0" smtClean="0">
                <a:latin typeface="Arial" pitchFamily="34" charset="0"/>
                <a:ea typeface="+mn-ea"/>
                <a:cs typeface="Arial" pitchFamily="34" charset="0"/>
              </a:rPr>
              <a:t>Идеально подходит для герметизации элементов водостока, примыканий, заполнения швов вокруг дымоходов, вентиляционных проходов, люков и мансардных окон и декоративных элементов.</a:t>
            </a:r>
            <a:endParaRPr lang="ru-RU" sz="2200" b="1">
              <a:latin typeface="Arial" pitchFamily="34" charset="0"/>
              <a:ea typeface="+mn-ea"/>
              <a:cs typeface="Arial" pitchFamily="34" charset="0"/>
            </a:endParaRPr>
          </a:p>
        </xdr:txBody>
      </xdr:sp>
      <xdr:sp macro="" textlink="">
        <xdr:nvSpPr>
          <xdr:cNvPr id="9" name="TextBox 4"/>
          <xdr:cNvSpPr txBox="1">
            <a:spLocks noChangeArrowheads="1"/>
          </xdr:cNvSpPr>
        </xdr:nvSpPr>
        <xdr:spPr bwMode="auto">
          <a:xfrm>
            <a:off x="12034556" y="1400749"/>
            <a:ext cx="2917872" cy="991394"/>
          </a:xfrm>
          <a:prstGeom prst="rect">
            <a:avLst/>
          </a:prstGeom>
          <a:solidFill>
            <a:srgbClr val="C00000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24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Каучуковый герметик </a:t>
            </a:r>
            <a:r>
              <a:rPr lang="en-US" sz="24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Tytan</a:t>
            </a:r>
          </a:p>
        </xdr:txBody>
      </xdr:sp>
    </xdr:grpSp>
    <xdr:clientData/>
  </xdr:twoCellAnchor>
  <xdr:twoCellAnchor editAs="oneCell">
    <xdr:from>
      <xdr:col>11</xdr:col>
      <xdr:colOff>176205</xdr:colOff>
      <xdr:row>30</xdr:row>
      <xdr:rowOff>138122</xdr:rowOff>
    </xdr:from>
    <xdr:to>
      <xdr:col>18</xdr:col>
      <xdr:colOff>147630</xdr:colOff>
      <xdr:row>34</xdr:row>
      <xdr:rowOff>47634</xdr:rowOff>
    </xdr:to>
    <xdr:pic>
      <xdr:nvPicPr>
        <xdr:cNvPr id="10" name="Рисунок 9" descr="герметик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2418330" y="12258685"/>
          <a:ext cx="4638675" cy="13382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1255920</xdr:colOff>
      <xdr:row>58</xdr:row>
      <xdr:rowOff>99927</xdr:rowOff>
    </xdr:from>
    <xdr:to>
      <xdr:col>6</xdr:col>
      <xdr:colOff>4381500</xdr:colOff>
      <xdr:row>64</xdr:row>
      <xdr:rowOff>238119</xdr:rowOff>
    </xdr:to>
    <xdr:pic>
      <xdr:nvPicPr>
        <xdr:cNvPr id="11" name="Рисунок 10" descr="лента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7186483" y="20840615"/>
          <a:ext cx="3125580" cy="22813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absolute">
    <xdr:from>
      <xdr:col>11</xdr:col>
      <xdr:colOff>14207</xdr:colOff>
      <xdr:row>46</xdr:row>
      <xdr:rowOff>166674</xdr:rowOff>
    </xdr:from>
    <xdr:to>
      <xdr:col>18</xdr:col>
      <xdr:colOff>523892</xdr:colOff>
      <xdr:row>63</xdr:row>
      <xdr:rowOff>0</xdr:rowOff>
    </xdr:to>
    <xdr:grpSp>
      <xdr:nvGrpSpPr>
        <xdr:cNvPr id="12" name="Группа 7"/>
        <xdr:cNvGrpSpPr>
          <a:grpSpLocks/>
        </xdr:cNvGrpSpPr>
      </xdr:nvGrpSpPr>
      <xdr:grpSpPr bwMode="auto">
        <a:xfrm>
          <a:off x="35486450" y="16976521"/>
          <a:ext cx="5506373" cy="5775529"/>
          <a:chOff x="11971500" y="1478319"/>
          <a:chExt cx="2951971" cy="5912637"/>
        </a:xfrm>
      </xdr:grpSpPr>
      <xdr:sp macro="" textlink="">
        <xdr:nvSpPr>
          <xdr:cNvPr id="13" name="TextBox 12"/>
          <xdr:cNvSpPr txBox="1">
            <a:spLocks noChangeArrowheads="1"/>
          </xdr:cNvSpPr>
        </xdr:nvSpPr>
        <xdr:spPr bwMode="auto">
          <a:xfrm>
            <a:off x="11971500" y="1478319"/>
            <a:ext cx="2951971" cy="5912637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rgbClr val="000000">
                <a:alpha val="39999"/>
              </a:srgbClr>
            </a:outerShdw>
          </a:effectLst>
        </xdr:spPr>
        <xdr:txBody>
          <a:bodyPr vertOverflow="clip" wrap="square" lIns="27432" tIns="0" rIns="0" bIns="22860" anchor="ctr" upright="1"/>
          <a:lstStyle/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fontAlgn="base"/>
            <a:endParaRPr lang="ru-RU" sz="2000" b="1" i="0">
              <a:latin typeface="Arial" pitchFamily="34" charset="0"/>
              <a:ea typeface="+mn-ea"/>
              <a:cs typeface="Arial" pitchFamily="34" charset="0"/>
            </a:endParaRPr>
          </a:p>
          <a:p>
            <a:pPr fontAlgn="base"/>
            <a:endParaRPr lang="ru-RU" sz="2000" b="1" i="0">
              <a:latin typeface="Arial" pitchFamily="34" charset="0"/>
              <a:ea typeface="+mn-ea"/>
              <a:cs typeface="Arial" pitchFamily="34" charset="0"/>
            </a:endParaRPr>
          </a:p>
          <a:p>
            <a:pPr fontAlgn="base"/>
            <a:endParaRPr lang="ru-RU" sz="2000" b="1" i="0">
              <a:latin typeface="Arial" pitchFamily="34" charset="0"/>
              <a:ea typeface="+mn-ea"/>
              <a:cs typeface="Arial" pitchFamily="34" charset="0"/>
            </a:endParaRPr>
          </a:p>
          <a:p>
            <a:pPr fontAlgn="base"/>
            <a:endParaRPr lang="ru-RU" sz="2000" b="1" i="0">
              <a:latin typeface="Arial" pitchFamily="34" charset="0"/>
              <a:ea typeface="+mn-ea"/>
              <a:cs typeface="Arial" pitchFamily="34" charset="0"/>
            </a:endParaRPr>
          </a:p>
          <a:p>
            <a:pPr fontAlgn="base"/>
            <a:endParaRPr lang="ru-RU" sz="2000" b="1" i="0">
              <a:latin typeface="Arial" pitchFamily="34" charset="0"/>
              <a:ea typeface="+mn-ea"/>
              <a:cs typeface="Arial" pitchFamily="34" charset="0"/>
            </a:endParaRPr>
          </a:p>
          <a:p>
            <a:pPr fontAlgn="base"/>
            <a:endParaRPr lang="ru-RU" sz="2000" b="1" i="0">
              <a:latin typeface="Arial" pitchFamily="34" charset="0"/>
              <a:ea typeface="+mn-ea"/>
              <a:cs typeface="Arial" pitchFamily="34" charset="0"/>
            </a:endParaRPr>
          </a:p>
          <a:p>
            <a:pPr fontAlgn="base"/>
            <a:r>
              <a:rPr lang="ru-RU" sz="2000" b="1" i="0">
                <a:latin typeface="Arial" pitchFamily="34" charset="0"/>
                <a:ea typeface="+mn-ea"/>
                <a:cs typeface="Arial" pitchFamily="34" charset="0"/>
              </a:rPr>
              <a:t>            коричневая                        белая </a:t>
            </a:r>
            <a:r>
              <a:rPr lang="ru-RU" sz="2400" b="1" i="0">
                <a:latin typeface="Arial" pitchFamily="34" charset="0"/>
                <a:ea typeface="+mn-ea"/>
                <a:cs typeface="Arial" pitchFamily="34" charset="0"/>
              </a:rPr>
              <a:t>Предназанчена для свободного входа воздушного потока  в подкровельное пространство.</a:t>
            </a:r>
            <a:r>
              <a:rPr lang="en-US" sz="2400" b="1" i="0" baseline="0">
                <a:latin typeface="Arial" pitchFamily="34" charset="0"/>
                <a:ea typeface="+mn-ea"/>
                <a:cs typeface="Arial" pitchFamily="34" charset="0"/>
              </a:rPr>
              <a:t> </a:t>
            </a:r>
            <a:r>
              <a:rPr lang="ru-RU" sz="2400" b="1" i="0">
                <a:latin typeface="Arial" pitchFamily="34" charset="0"/>
                <a:ea typeface="+mn-ea"/>
                <a:cs typeface="Arial" pitchFamily="34" charset="0"/>
              </a:rPr>
              <a:t>Препятствует попаданию в подкровельное пространство снега, листьев, грязи, насекомых и птиц.</a:t>
            </a:r>
          </a:p>
          <a:p>
            <a:pPr algn="l" rtl="0">
              <a:defRPr sz="1000"/>
            </a:pPr>
            <a:endParaRPr lang="ru-RU" sz="44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</xdr:txBody>
      </xdr:sp>
      <xdr:sp macro="" textlink="">
        <xdr:nvSpPr>
          <xdr:cNvPr id="14" name="TextBox 4"/>
          <xdr:cNvSpPr txBox="1">
            <a:spLocks noChangeArrowheads="1"/>
          </xdr:cNvSpPr>
        </xdr:nvSpPr>
        <xdr:spPr bwMode="auto">
          <a:xfrm>
            <a:off x="11986235" y="1519493"/>
            <a:ext cx="2922500" cy="955245"/>
          </a:xfrm>
          <a:prstGeom prst="rect">
            <a:avLst/>
          </a:prstGeom>
          <a:solidFill>
            <a:srgbClr val="C00000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24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Лента вентиляционная ПВХ (коричневая/белая </a:t>
            </a:r>
            <a:r>
              <a:rPr lang="en-US" sz="24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NEW) 100</a:t>
            </a:r>
            <a:r>
              <a:rPr lang="ru-RU" sz="24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х5000 </a:t>
            </a:r>
            <a:r>
              <a:rPr lang="en-US" sz="24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BWK (5</a:t>
            </a:r>
            <a:r>
              <a:rPr lang="ru-RU" sz="24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м)</a:t>
            </a:r>
            <a:endParaRPr lang="en-US" sz="2400" b="1" i="0" u="none" strike="noStrike" baseline="0">
              <a:solidFill>
                <a:srgbClr val="FFFFFF"/>
              </a:solidFill>
              <a:latin typeface="Arial"/>
              <a:cs typeface="Arial"/>
            </a:endParaRPr>
          </a:p>
        </xdr:txBody>
      </xdr:sp>
    </xdr:grpSp>
    <xdr:clientData/>
  </xdr:twoCellAnchor>
  <xdr:twoCellAnchor editAs="oneCell">
    <xdr:from>
      <xdr:col>11</xdr:col>
      <xdr:colOff>762013</xdr:colOff>
      <xdr:row>50</xdr:row>
      <xdr:rowOff>23812</xdr:rowOff>
    </xdr:from>
    <xdr:to>
      <xdr:col>14</xdr:col>
      <xdr:colOff>214325</xdr:colOff>
      <xdr:row>54</xdr:row>
      <xdr:rowOff>238124</xdr:rowOff>
    </xdr:to>
    <xdr:pic>
      <xdr:nvPicPr>
        <xdr:cNvPr id="1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3004138" y="18621375"/>
          <a:ext cx="1643062" cy="1643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119059</xdr:colOff>
      <xdr:row>50</xdr:row>
      <xdr:rowOff>172634</xdr:rowOff>
    </xdr:from>
    <xdr:to>
      <xdr:col>18</xdr:col>
      <xdr:colOff>238125</xdr:colOff>
      <xdr:row>54</xdr:row>
      <xdr:rowOff>161921</xdr:rowOff>
    </xdr:to>
    <xdr:pic>
      <xdr:nvPicPr>
        <xdr:cNvPr id="16" name="Рисунок 15" descr="P1010190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5790184" y="18770197"/>
          <a:ext cx="1357316" cy="1418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23799</xdr:rowOff>
    </xdr:from>
    <xdr:to>
      <xdr:col>1</xdr:col>
      <xdr:colOff>1271321</xdr:colOff>
      <xdr:row>7</xdr:row>
      <xdr:rowOff>47625</xdr:rowOff>
    </xdr:to>
    <xdr:pic>
      <xdr:nvPicPr>
        <xdr:cNvPr id="1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23799"/>
          <a:ext cx="10272446" cy="2238389"/>
        </a:xfrm>
        <a:prstGeom prst="rect">
          <a:avLst/>
        </a:prstGeom>
        <a:noFill/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0</xdr:col>
      <xdr:colOff>3394365</xdr:colOff>
      <xdr:row>2</xdr:row>
      <xdr:rowOff>29596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" y="1"/>
          <a:ext cx="3394364" cy="734445"/>
        </a:xfrm>
        <a:prstGeom prst="rect">
          <a:avLst/>
        </a:prstGeom>
        <a:noFill/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304800</xdr:colOff>
      <xdr:row>8</xdr:row>
      <xdr:rowOff>371475</xdr:rowOff>
    </xdr:from>
    <xdr:to>
      <xdr:col>1</xdr:col>
      <xdr:colOff>8220075</xdr:colOff>
      <xdr:row>8</xdr:row>
      <xdr:rowOff>2371725</xdr:rowOff>
    </xdr:to>
    <xdr:pic>
      <xdr:nvPicPr>
        <xdr:cNvPr id="2" name="Рисунок 6" descr="1.jpg"/>
        <xdr:cNvPicPr>
          <a:picLocks noChangeAspect="1"/>
        </xdr:cNvPicPr>
      </xdr:nvPicPr>
      <xdr:blipFill>
        <a:blip xmlns:r="http://schemas.openxmlformats.org/officeDocument/2006/relationships" r:embed="rId1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42900" y="7867650"/>
          <a:ext cx="7915275" cy="200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1571625</xdr:colOff>
      <xdr:row>10</xdr:row>
      <xdr:rowOff>104776</xdr:rowOff>
    </xdr:from>
    <xdr:to>
      <xdr:col>1</xdr:col>
      <xdr:colOff>6619189</xdr:colOff>
      <xdr:row>10</xdr:row>
      <xdr:rowOff>2524126</xdr:rowOff>
    </xdr:to>
    <xdr:pic>
      <xdr:nvPicPr>
        <xdr:cNvPr id="3" name="Рисунок 7" descr="2.jpg"/>
        <xdr:cNvPicPr>
          <a:picLocks noChangeAspect="1"/>
        </xdr:cNvPicPr>
      </xdr:nvPicPr>
      <xdr:blipFill>
        <a:blip xmlns:r="http://schemas.openxmlformats.org/officeDocument/2006/relationships" r:embed="rId2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609725" y="13230226"/>
          <a:ext cx="5047564" cy="2419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485775</xdr:colOff>
      <xdr:row>16</xdr:row>
      <xdr:rowOff>2400300</xdr:rowOff>
    </xdr:from>
    <xdr:to>
      <xdr:col>1</xdr:col>
      <xdr:colOff>8001000</xdr:colOff>
      <xdr:row>17</xdr:row>
      <xdr:rowOff>2095500</xdr:rowOff>
    </xdr:to>
    <xdr:pic>
      <xdr:nvPicPr>
        <xdr:cNvPr id="4" name="Рисунок 8" descr="3.jpg"/>
        <xdr:cNvPicPr>
          <a:picLocks noChangeAspect="1"/>
        </xdr:cNvPicPr>
      </xdr:nvPicPr>
      <xdr:blipFill>
        <a:blip xmlns:r="http://schemas.openxmlformats.org/officeDocument/2006/relationships" r:embed="rId3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23875" y="30060900"/>
          <a:ext cx="7515225" cy="2847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1962150</xdr:colOff>
      <xdr:row>14</xdr:row>
      <xdr:rowOff>123825</xdr:rowOff>
    </xdr:from>
    <xdr:to>
      <xdr:col>1</xdr:col>
      <xdr:colOff>4950063</xdr:colOff>
      <xdr:row>14</xdr:row>
      <xdr:rowOff>2095500</xdr:rowOff>
    </xdr:to>
    <xdr:pic>
      <xdr:nvPicPr>
        <xdr:cNvPr id="5" name="Рисунок 10" descr="32 копия.jpg"/>
        <xdr:cNvPicPr>
          <a:picLocks noChangeAspect="1"/>
        </xdr:cNvPicPr>
      </xdr:nvPicPr>
      <xdr:blipFill>
        <a:blip xmlns:r="http://schemas.openxmlformats.org/officeDocument/2006/relationships" r:embed="rId4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00250" y="23317200"/>
          <a:ext cx="2987913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9420225</xdr:colOff>
      <xdr:row>28</xdr:row>
      <xdr:rowOff>304800</xdr:rowOff>
    </xdr:from>
    <xdr:to>
      <xdr:col>3</xdr:col>
      <xdr:colOff>11620500</xdr:colOff>
      <xdr:row>28</xdr:row>
      <xdr:rowOff>2381250</xdr:rowOff>
    </xdr:to>
    <xdr:pic>
      <xdr:nvPicPr>
        <xdr:cNvPr id="6" name="Рисунок 11" descr="31 копия.JPG"/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25336500" y="58121550"/>
          <a:ext cx="2200275" cy="207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1943100</xdr:colOff>
      <xdr:row>12</xdr:row>
      <xdr:rowOff>133350</xdr:rowOff>
    </xdr:from>
    <xdr:to>
      <xdr:col>1</xdr:col>
      <xdr:colOff>5429250</xdr:colOff>
      <xdr:row>12</xdr:row>
      <xdr:rowOff>2295525</xdr:rowOff>
    </xdr:to>
    <xdr:pic>
      <xdr:nvPicPr>
        <xdr:cNvPr id="7" name="Рисунок 1"/>
        <xdr:cNvPicPr>
          <a:picLocks noChangeAspect="1"/>
        </xdr:cNvPicPr>
      </xdr:nvPicPr>
      <xdr:blipFill>
        <a:blip xmlns:r="http://schemas.openxmlformats.org/officeDocument/2006/relationships" r:embed="rId6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81200" y="18516600"/>
          <a:ext cx="3486150" cy="2162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2286001</xdr:colOff>
      <xdr:row>15</xdr:row>
      <xdr:rowOff>161925</xdr:rowOff>
    </xdr:from>
    <xdr:to>
      <xdr:col>1</xdr:col>
      <xdr:colOff>5048251</xdr:colOff>
      <xdr:row>15</xdr:row>
      <xdr:rowOff>1926467</xdr:rowOff>
    </xdr:to>
    <xdr:pic>
      <xdr:nvPicPr>
        <xdr:cNvPr id="8" name="Рисунок 2"/>
        <xdr:cNvPicPr>
          <a:picLocks noChangeAspect="1"/>
        </xdr:cNvPicPr>
      </xdr:nvPicPr>
      <xdr:blipFill>
        <a:blip xmlns:r="http://schemas.openxmlformats.org/officeDocument/2006/relationships" r:embed="rId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24101" y="25660350"/>
          <a:ext cx="2762250" cy="17645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266700</xdr:colOff>
      <xdr:row>9</xdr:row>
      <xdr:rowOff>152400</xdr:rowOff>
    </xdr:from>
    <xdr:to>
      <xdr:col>1</xdr:col>
      <xdr:colOff>8181975</xdr:colOff>
      <xdr:row>9</xdr:row>
      <xdr:rowOff>2143125</xdr:rowOff>
    </xdr:to>
    <xdr:pic>
      <xdr:nvPicPr>
        <xdr:cNvPr id="9" name="Рисунок 6" descr="1.jpg"/>
        <xdr:cNvPicPr>
          <a:picLocks noChangeAspect="1"/>
        </xdr:cNvPicPr>
      </xdr:nvPicPr>
      <xdr:blipFill>
        <a:blip xmlns:r="http://schemas.openxmlformats.org/officeDocument/2006/relationships" r:embed="rId1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4800" y="10220325"/>
          <a:ext cx="791527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5476875</xdr:colOff>
      <xdr:row>9</xdr:row>
      <xdr:rowOff>1285875</xdr:rowOff>
    </xdr:from>
    <xdr:to>
      <xdr:col>1</xdr:col>
      <xdr:colOff>7858125</xdr:colOff>
      <xdr:row>9</xdr:row>
      <xdr:rowOff>2819400</xdr:rowOff>
    </xdr:to>
    <xdr:pic>
      <xdr:nvPicPr>
        <xdr:cNvPr id="10" name="Рисунок 15"/>
        <xdr:cNvPicPr>
          <a:picLocks noChangeAspect="1"/>
        </xdr:cNvPicPr>
      </xdr:nvPicPr>
      <xdr:blipFill>
        <a:blip xmlns:r="http://schemas.openxmlformats.org/officeDocument/2006/relationships" r:embed="rId8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11353800"/>
          <a:ext cx="2381250" cy="153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5781675</xdr:colOff>
      <xdr:row>11</xdr:row>
      <xdr:rowOff>1066800</xdr:rowOff>
    </xdr:from>
    <xdr:to>
      <xdr:col>1</xdr:col>
      <xdr:colOff>7934325</xdr:colOff>
      <xdr:row>11</xdr:row>
      <xdr:rowOff>2428875</xdr:rowOff>
    </xdr:to>
    <xdr:pic>
      <xdr:nvPicPr>
        <xdr:cNvPr id="11" name="Рисунок 18"/>
        <xdr:cNvPicPr>
          <a:picLocks noChangeAspect="1"/>
        </xdr:cNvPicPr>
      </xdr:nvPicPr>
      <xdr:blipFill>
        <a:blip xmlns:r="http://schemas.openxmlformats.org/officeDocument/2006/relationships" r:embed="rId9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19775" y="16849725"/>
          <a:ext cx="215265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1085850</xdr:colOff>
      <xdr:row>11</xdr:row>
      <xdr:rowOff>133350</xdr:rowOff>
    </xdr:from>
    <xdr:to>
      <xdr:col>1</xdr:col>
      <xdr:colOff>5905500</xdr:colOff>
      <xdr:row>11</xdr:row>
      <xdr:rowOff>2444479</xdr:rowOff>
    </xdr:to>
    <xdr:pic>
      <xdr:nvPicPr>
        <xdr:cNvPr id="12" name="Рисунок 7" descr="2.jpg"/>
        <xdr:cNvPicPr>
          <a:picLocks noChangeAspect="1"/>
        </xdr:cNvPicPr>
      </xdr:nvPicPr>
      <xdr:blipFill>
        <a:blip xmlns:r="http://schemas.openxmlformats.org/officeDocument/2006/relationships" r:embed="rId2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23950" y="15916275"/>
          <a:ext cx="4819650" cy="2311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25</xdr:row>
      <xdr:rowOff>190500</xdr:rowOff>
    </xdr:from>
    <xdr:to>
      <xdr:col>1</xdr:col>
      <xdr:colOff>7324725</xdr:colOff>
      <xdr:row>28</xdr:row>
      <xdr:rowOff>676275</xdr:rowOff>
    </xdr:to>
    <xdr:pic>
      <xdr:nvPicPr>
        <xdr:cNvPr id="13" name="Рисунок 1"/>
        <xdr:cNvPicPr>
          <a:picLocks noChangeAspect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 bwMode="auto">
        <a:xfrm rot="-1002100">
          <a:off x="76200" y="52139850"/>
          <a:ext cx="7286625" cy="6353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2228850</xdr:colOff>
      <xdr:row>13</xdr:row>
      <xdr:rowOff>180975</xdr:rowOff>
    </xdr:from>
    <xdr:to>
      <xdr:col>1</xdr:col>
      <xdr:colOff>5281039</xdr:colOff>
      <xdr:row>13</xdr:row>
      <xdr:rowOff>2190750</xdr:rowOff>
    </xdr:to>
    <xdr:pic>
      <xdr:nvPicPr>
        <xdr:cNvPr id="14" name="Рисунок 1"/>
        <xdr:cNvPicPr>
          <a:picLocks noChangeAspect="1"/>
        </xdr:cNvPicPr>
      </xdr:nvPicPr>
      <xdr:blipFill>
        <a:blip xmlns:r="http://schemas.openxmlformats.org/officeDocument/2006/relationships" r:embed="rId11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266950" y="21012150"/>
          <a:ext cx="3052189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5629275</xdr:colOff>
      <xdr:row>13</xdr:row>
      <xdr:rowOff>962025</xdr:rowOff>
    </xdr:from>
    <xdr:to>
      <xdr:col>1</xdr:col>
      <xdr:colOff>7953375</xdr:colOff>
      <xdr:row>14</xdr:row>
      <xdr:rowOff>66675</xdr:rowOff>
    </xdr:to>
    <xdr:pic>
      <xdr:nvPicPr>
        <xdr:cNvPr id="15" name="Рисунок 2"/>
        <xdr:cNvPicPr>
          <a:picLocks noChangeAspect="1"/>
        </xdr:cNvPicPr>
      </xdr:nvPicPr>
      <xdr:blipFill>
        <a:blip xmlns:r="http://schemas.openxmlformats.org/officeDocument/2006/relationships" r:embed="rId12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67375" y="21793200"/>
          <a:ext cx="23241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2543175</xdr:colOff>
      <xdr:row>22</xdr:row>
      <xdr:rowOff>180975</xdr:rowOff>
    </xdr:from>
    <xdr:to>
      <xdr:col>1</xdr:col>
      <xdr:colOff>5095875</xdr:colOff>
      <xdr:row>22</xdr:row>
      <xdr:rowOff>2380471</xdr:rowOff>
    </xdr:to>
    <xdr:pic>
      <xdr:nvPicPr>
        <xdr:cNvPr id="16" name="Рисунок 1"/>
        <xdr:cNvPicPr>
          <a:picLocks noChangeAspect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 bwMode="auto">
        <a:xfrm>
          <a:off x="2581275" y="45005625"/>
          <a:ext cx="2552700" cy="21994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2228850</xdr:colOff>
      <xdr:row>23</xdr:row>
      <xdr:rowOff>142875</xdr:rowOff>
    </xdr:from>
    <xdr:to>
      <xdr:col>1</xdr:col>
      <xdr:colOff>5095875</xdr:colOff>
      <xdr:row>23</xdr:row>
      <xdr:rowOff>2411487</xdr:rowOff>
    </xdr:to>
    <xdr:pic>
      <xdr:nvPicPr>
        <xdr:cNvPr id="17" name="Рисунок 2"/>
        <xdr:cNvPicPr>
          <a:picLocks noChangeAspect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 bwMode="auto">
        <a:xfrm>
          <a:off x="2266950" y="47501175"/>
          <a:ext cx="2867025" cy="22686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438150</xdr:colOff>
      <xdr:row>18</xdr:row>
      <xdr:rowOff>1057275</xdr:rowOff>
    </xdr:from>
    <xdr:to>
      <xdr:col>1</xdr:col>
      <xdr:colOff>8001000</xdr:colOff>
      <xdr:row>19</xdr:row>
      <xdr:rowOff>685800</xdr:rowOff>
    </xdr:to>
    <xdr:pic>
      <xdr:nvPicPr>
        <xdr:cNvPr id="18" name="Рисунок 8" descr="3.jpg"/>
        <xdr:cNvPicPr>
          <a:picLocks noChangeAspect="1"/>
        </xdr:cNvPicPr>
      </xdr:nvPicPr>
      <xdr:blipFill>
        <a:blip xmlns:r="http://schemas.openxmlformats.org/officeDocument/2006/relationships" r:embed="rId3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6250" y="34975800"/>
          <a:ext cx="7562850" cy="2828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3571875</xdr:colOff>
      <xdr:row>18</xdr:row>
      <xdr:rowOff>3438525</xdr:rowOff>
    </xdr:from>
    <xdr:to>
      <xdr:col>1</xdr:col>
      <xdr:colOff>7419975</xdr:colOff>
      <xdr:row>19</xdr:row>
      <xdr:rowOff>2495550</xdr:rowOff>
    </xdr:to>
    <xdr:pic>
      <xdr:nvPicPr>
        <xdr:cNvPr id="19" name="Рисунок 10" descr="32 копия.jpg"/>
        <xdr:cNvPicPr>
          <a:picLocks noChangeAspect="1"/>
        </xdr:cNvPicPr>
      </xdr:nvPicPr>
      <xdr:blipFill>
        <a:blip xmlns:r="http://schemas.openxmlformats.org/officeDocument/2006/relationships" r:embed="rId15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51428" flipH="1">
          <a:off x="3609975" y="37118925"/>
          <a:ext cx="3848100" cy="2495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857250</xdr:colOff>
      <xdr:row>20</xdr:row>
      <xdr:rowOff>238125</xdr:rowOff>
    </xdr:from>
    <xdr:to>
      <xdr:col>1</xdr:col>
      <xdr:colOff>7477125</xdr:colOff>
      <xdr:row>22</xdr:row>
      <xdr:rowOff>142875</xdr:rowOff>
    </xdr:to>
    <xdr:pic>
      <xdr:nvPicPr>
        <xdr:cNvPr id="20" name="Рисунок 3"/>
        <xdr:cNvPicPr>
          <a:picLocks noChangeAspect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 bwMode="auto">
        <a:xfrm>
          <a:off x="895350" y="40576500"/>
          <a:ext cx="6619875" cy="439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2381250</xdr:colOff>
      <xdr:row>29</xdr:row>
      <xdr:rowOff>514350</xdr:rowOff>
    </xdr:from>
    <xdr:to>
      <xdr:col>1</xdr:col>
      <xdr:colOff>6238875</xdr:colOff>
      <xdr:row>35</xdr:row>
      <xdr:rowOff>1000125</xdr:rowOff>
    </xdr:to>
    <xdr:pic>
      <xdr:nvPicPr>
        <xdr:cNvPr id="21" name="Рисунок 9" descr="4.jpg"/>
        <xdr:cNvPicPr>
          <a:picLocks noChangeAspect="1"/>
        </xdr:cNvPicPr>
      </xdr:nvPicPr>
      <xdr:blipFill>
        <a:blip xmlns:r="http://schemas.openxmlformats.org/officeDocument/2006/relationships" r:embed="rId17" cstate="email">
          <a:clrChange>
            <a:clrFrom>
              <a:srgbClr val="FFF9F8"/>
            </a:clrFrom>
            <a:clrTo>
              <a:srgbClr val="FFF9F8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419350" y="60940950"/>
          <a:ext cx="3857625" cy="12563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3497581</xdr:colOff>
      <xdr:row>5</xdr:row>
      <xdr:rowOff>142875</xdr:rowOff>
    </xdr:to>
    <xdr:pic>
      <xdr:nvPicPr>
        <xdr:cNvPr id="2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 bwMode="auto">
        <a:xfrm>
          <a:off x="0" y="0"/>
          <a:ext cx="19413856" cy="43053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1476374</xdr:colOff>
      <xdr:row>38</xdr:row>
      <xdr:rowOff>658504</xdr:rowOff>
    </xdr:from>
    <xdr:to>
      <xdr:col>1</xdr:col>
      <xdr:colOff>7524750</xdr:colOff>
      <xdr:row>39</xdr:row>
      <xdr:rowOff>2271711</xdr:rowOff>
    </xdr:to>
    <xdr:pic>
      <xdr:nvPicPr>
        <xdr:cNvPr id="23" name="Рисунок 42"/>
        <xdr:cNvPicPr>
          <a:picLocks noChangeAspect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 bwMode="auto">
        <a:xfrm>
          <a:off x="1514474" y="82544929"/>
          <a:ext cx="6048376" cy="54232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677368</xdr:colOff>
      <xdr:row>36</xdr:row>
      <xdr:rowOff>1827866</xdr:rowOff>
    </xdr:from>
    <xdr:to>
      <xdr:col>1</xdr:col>
      <xdr:colOff>7849110</xdr:colOff>
      <xdr:row>37</xdr:row>
      <xdr:rowOff>1714500</xdr:rowOff>
    </xdr:to>
    <xdr:pic>
      <xdr:nvPicPr>
        <xdr:cNvPr id="2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 bwMode="auto">
        <a:xfrm rot="10800000" flipV="1">
          <a:off x="715468" y="76189541"/>
          <a:ext cx="7171742" cy="3696634"/>
        </a:xfrm>
        <a:prstGeom prst="rect">
          <a:avLst/>
        </a:prstGeom>
        <a:noFill/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11</xdr:row>
      <xdr:rowOff>533400</xdr:rowOff>
    </xdr:from>
    <xdr:to>
      <xdr:col>0</xdr:col>
      <xdr:colOff>8763000</xdr:colOff>
      <xdr:row>11</xdr:row>
      <xdr:rowOff>3324225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493" t="8525" r="3374" b="5632"/>
        <a:stretch>
          <a:fillRect/>
        </a:stretch>
      </xdr:blipFill>
      <xdr:spPr bwMode="auto">
        <a:xfrm>
          <a:off x="381000" y="9296400"/>
          <a:ext cx="8382000" cy="2790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3000375</xdr:colOff>
      <xdr:row>18</xdr:row>
      <xdr:rowOff>104775</xdr:rowOff>
    </xdr:from>
    <xdr:to>
      <xdr:col>0</xdr:col>
      <xdr:colOff>4324350</xdr:colOff>
      <xdr:row>18</xdr:row>
      <xdr:rowOff>1238250</xdr:rowOff>
    </xdr:to>
    <xdr:pic>
      <xdr:nvPicPr>
        <xdr:cNvPr id="4" name="Рисунок 55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000375" y="30108525"/>
          <a:ext cx="1323975" cy="1133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1114425</xdr:colOff>
      <xdr:row>14</xdr:row>
      <xdr:rowOff>314325</xdr:rowOff>
    </xdr:from>
    <xdr:to>
      <xdr:col>0</xdr:col>
      <xdr:colOff>7258050</xdr:colOff>
      <xdr:row>14</xdr:row>
      <xdr:rowOff>3524250</xdr:rowOff>
    </xdr:to>
    <xdr:pic>
      <xdr:nvPicPr>
        <xdr:cNvPr id="5" name="Рисунок 56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293" b="9079"/>
        <a:stretch>
          <a:fillRect/>
        </a:stretch>
      </xdr:blipFill>
      <xdr:spPr bwMode="auto">
        <a:xfrm>
          <a:off x="1114425" y="18983325"/>
          <a:ext cx="6143625" cy="3209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5953125</xdr:colOff>
      <xdr:row>12</xdr:row>
      <xdr:rowOff>3228975</xdr:rowOff>
    </xdr:from>
    <xdr:to>
      <xdr:col>0</xdr:col>
      <xdr:colOff>8334375</xdr:colOff>
      <xdr:row>12</xdr:row>
      <xdr:rowOff>4752975</xdr:rowOff>
    </xdr:to>
    <xdr:pic>
      <xdr:nvPicPr>
        <xdr:cNvPr id="9" name="Рисунок 15"/>
        <xdr:cNvPicPr>
          <a:picLocks noChangeAspect="1"/>
        </xdr:cNvPicPr>
      </xdr:nvPicPr>
      <xdr:blipFill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8128" b="10172"/>
        <a:stretch>
          <a:fillRect/>
        </a:stretch>
      </xdr:blipFill>
      <xdr:spPr bwMode="auto">
        <a:xfrm>
          <a:off x="5953125" y="15039975"/>
          <a:ext cx="2381250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4238625</xdr:colOff>
      <xdr:row>15</xdr:row>
      <xdr:rowOff>3276600</xdr:rowOff>
    </xdr:from>
    <xdr:to>
      <xdr:col>0</xdr:col>
      <xdr:colOff>6619875</xdr:colOff>
      <xdr:row>15</xdr:row>
      <xdr:rowOff>4800600</xdr:rowOff>
    </xdr:to>
    <xdr:pic>
      <xdr:nvPicPr>
        <xdr:cNvPr id="10" name="Рисунок 15"/>
        <xdr:cNvPicPr>
          <a:picLocks noChangeAspect="1"/>
        </xdr:cNvPicPr>
      </xdr:nvPicPr>
      <xdr:blipFill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8128" b="10172"/>
        <a:stretch>
          <a:fillRect/>
        </a:stretch>
      </xdr:blipFill>
      <xdr:spPr bwMode="auto">
        <a:xfrm>
          <a:off x="4238625" y="24803100"/>
          <a:ext cx="2381250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304800</xdr:colOff>
      <xdr:row>12</xdr:row>
      <xdr:rowOff>1171575</xdr:rowOff>
    </xdr:from>
    <xdr:to>
      <xdr:col>0</xdr:col>
      <xdr:colOff>8686800</xdr:colOff>
      <xdr:row>12</xdr:row>
      <xdr:rowOff>3952875</xdr:rowOff>
    </xdr:to>
    <xdr:pic>
      <xdr:nvPicPr>
        <xdr:cNvPr id="11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493" t="8525" r="3374" b="5632"/>
        <a:stretch>
          <a:fillRect/>
        </a:stretch>
      </xdr:blipFill>
      <xdr:spPr bwMode="auto">
        <a:xfrm>
          <a:off x="304800" y="13935075"/>
          <a:ext cx="8382000" cy="278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1285875</xdr:colOff>
      <xdr:row>15</xdr:row>
      <xdr:rowOff>904875</xdr:rowOff>
    </xdr:from>
    <xdr:to>
      <xdr:col>0</xdr:col>
      <xdr:colOff>7429500</xdr:colOff>
      <xdr:row>15</xdr:row>
      <xdr:rowOff>4095750</xdr:rowOff>
    </xdr:to>
    <xdr:pic>
      <xdr:nvPicPr>
        <xdr:cNvPr id="12" name="Рисунок 56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293" b="9079"/>
        <a:stretch>
          <a:fillRect/>
        </a:stretch>
      </xdr:blipFill>
      <xdr:spPr bwMode="auto">
        <a:xfrm>
          <a:off x="1285875" y="23383875"/>
          <a:ext cx="6143625" cy="3190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1724026</xdr:colOff>
      <xdr:row>19</xdr:row>
      <xdr:rowOff>228600</xdr:rowOff>
    </xdr:from>
    <xdr:to>
      <xdr:col>0</xdr:col>
      <xdr:colOff>7381875</xdr:colOff>
      <xdr:row>20</xdr:row>
      <xdr:rowOff>1470854</xdr:rowOff>
    </xdr:to>
    <xdr:pic>
      <xdr:nvPicPr>
        <xdr:cNvPr id="13" name="Рисунок 11" descr="кров огр на фальц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724026" y="43091100"/>
          <a:ext cx="5657849" cy="3385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2698752</xdr:colOff>
      <xdr:row>35</xdr:row>
      <xdr:rowOff>184153</xdr:rowOff>
    </xdr:from>
    <xdr:to>
      <xdr:col>0</xdr:col>
      <xdr:colOff>5564996</xdr:colOff>
      <xdr:row>35</xdr:row>
      <xdr:rowOff>3333751</xdr:rowOff>
    </xdr:to>
    <xdr:pic>
      <xdr:nvPicPr>
        <xdr:cNvPr id="15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2698752" y="88052278"/>
          <a:ext cx="2866244" cy="31495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381000</xdr:colOff>
      <xdr:row>29</xdr:row>
      <xdr:rowOff>1524000</xdr:rowOff>
    </xdr:from>
    <xdr:to>
      <xdr:col>0</xdr:col>
      <xdr:colOff>8319744</xdr:colOff>
      <xdr:row>34</xdr:row>
      <xdr:rowOff>1635125</xdr:rowOff>
    </xdr:to>
    <xdr:pic>
      <xdr:nvPicPr>
        <xdr:cNvPr id="17" name="Рисунок 16" descr="Безымянный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81000" y="69246750"/>
          <a:ext cx="7938744" cy="132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10316453</xdr:colOff>
      <xdr:row>8</xdr:row>
      <xdr:rowOff>190499</xdr:rowOff>
    </xdr:to>
    <xdr:pic>
      <xdr:nvPicPr>
        <xdr:cNvPr id="1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0"/>
          <a:ext cx="19889078" cy="43338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3571875</xdr:colOff>
      <xdr:row>17</xdr:row>
      <xdr:rowOff>95251</xdr:rowOff>
    </xdr:from>
    <xdr:to>
      <xdr:col>0</xdr:col>
      <xdr:colOff>5028832</xdr:colOff>
      <xdr:row>17</xdr:row>
      <xdr:rowOff>2190751</xdr:rowOff>
    </xdr:to>
    <xdr:pic>
      <xdr:nvPicPr>
        <xdr:cNvPr id="307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3571875" y="26812876"/>
          <a:ext cx="1456957" cy="2095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2333625</xdr:colOff>
      <xdr:row>16</xdr:row>
      <xdr:rowOff>95250</xdr:rowOff>
    </xdr:from>
    <xdr:to>
      <xdr:col>0</xdr:col>
      <xdr:colOff>7467600</xdr:colOff>
      <xdr:row>16</xdr:row>
      <xdr:rowOff>2000250</xdr:rowOff>
    </xdr:to>
    <xdr:pic>
      <xdr:nvPicPr>
        <xdr:cNvPr id="409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333625" y="26812875"/>
          <a:ext cx="5133975" cy="1905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1762125</xdr:colOff>
      <xdr:row>25</xdr:row>
      <xdr:rowOff>190502</xdr:rowOff>
    </xdr:from>
    <xdr:to>
      <xdr:col>0</xdr:col>
      <xdr:colOff>7334250</xdr:colOff>
      <xdr:row>26</xdr:row>
      <xdr:rowOff>2486784</xdr:rowOff>
    </xdr:to>
    <xdr:pic>
      <xdr:nvPicPr>
        <xdr:cNvPr id="19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762125" y="60817127"/>
          <a:ext cx="5572125" cy="505853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1095376</xdr:colOff>
      <xdr:row>27</xdr:row>
      <xdr:rowOff>347957</xdr:rowOff>
    </xdr:from>
    <xdr:to>
      <xdr:col>0</xdr:col>
      <xdr:colOff>7762876</xdr:colOff>
      <xdr:row>28</xdr:row>
      <xdr:rowOff>2455609</xdr:rowOff>
    </xdr:to>
    <xdr:pic>
      <xdr:nvPicPr>
        <xdr:cNvPr id="20" name="Рисунок 10" descr="мостик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095376" y="66641957"/>
          <a:ext cx="6667500" cy="47270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1433963</xdr:colOff>
      <xdr:row>21</xdr:row>
      <xdr:rowOff>544434</xdr:rowOff>
    </xdr:from>
    <xdr:to>
      <xdr:col>0</xdr:col>
      <xdr:colOff>7923107</xdr:colOff>
      <xdr:row>21</xdr:row>
      <xdr:rowOff>2911188</xdr:rowOff>
    </xdr:to>
    <xdr:pic>
      <xdr:nvPicPr>
        <xdr:cNvPr id="21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209335">
          <a:off x="1433963" y="47216934"/>
          <a:ext cx="6489144" cy="23667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671042</xdr:colOff>
      <xdr:row>23</xdr:row>
      <xdr:rowOff>614284</xdr:rowOff>
    </xdr:from>
    <xdr:to>
      <xdr:col>0</xdr:col>
      <xdr:colOff>7917792</xdr:colOff>
      <xdr:row>23</xdr:row>
      <xdr:rowOff>2604599</xdr:rowOff>
    </xdr:to>
    <xdr:pic>
      <xdr:nvPicPr>
        <xdr:cNvPr id="22" name="Рисунок 11" descr="Безымянный.jpg"/>
        <xdr:cNvPicPr>
          <a:picLocks noChangeAspect="1"/>
        </xdr:cNvPicPr>
      </xdr:nvPicPr>
      <xdr:blipFill>
        <a:blip xmlns:r="http://schemas.openxmlformats.org/officeDocument/2006/relationships" r:embed="rId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duotone>
            <a:prstClr val="black"/>
            <a:schemeClr val="accent2">
              <a:tint val="45000"/>
              <a:satMod val="400000"/>
            </a:schemeClr>
          </a:duotone>
        </a:blip>
        <a:srcRect/>
        <a:stretch>
          <a:fillRect/>
        </a:stretch>
      </xdr:blipFill>
      <xdr:spPr bwMode="auto">
        <a:xfrm rot="21022960" flipH="1">
          <a:off x="671042" y="54525784"/>
          <a:ext cx="7246750" cy="19903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60968</xdr:colOff>
      <xdr:row>22</xdr:row>
      <xdr:rowOff>571268</xdr:rowOff>
    </xdr:from>
    <xdr:to>
      <xdr:col>0</xdr:col>
      <xdr:colOff>7175461</xdr:colOff>
      <xdr:row>22</xdr:row>
      <xdr:rowOff>2791612</xdr:rowOff>
    </xdr:to>
    <xdr:pic>
      <xdr:nvPicPr>
        <xdr:cNvPr id="23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209335">
          <a:off x="60968" y="50768018"/>
          <a:ext cx="7114493" cy="22203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4572000</xdr:colOff>
      <xdr:row>22</xdr:row>
      <xdr:rowOff>2762250</xdr:rowOff>
    </xdr:from>
    <xdr:to>
      <xdr:col>0</xdr:col>
      <xdr:colOff>7343775</xdr:colOff>
      <xdr:row>22</xdr:row>
      <xdr:rowOff>2762250</xdr:rowOff>
    </xdr:to>
    <xdr:pic>
      <xdr:nvPicPr>
        <xdr:cNvPr id="24" name="Рисунок 1"/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4572000" y="37309425"/>
          <a:ext cx="2771775" cy="1628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350675</xdr:colOff>
      <xdr:row>24</xdr:row>
      <xdr:rowOff>848704</xdr:rowOff>
    </xdr:from>
    <xdr:to>
      <xdr:col>0</xdr:col>
      <xdr:colOff>7628469</xdr:colOff>
      <xdr:row>24</xdr:row>
      <xdr:rowOff>2997366</xdr:rowOff>
    </xdr:to>
    <xdr:pic>
      <xdr:nvPicPr>
        <xdr:cNvPr id="25" name="Рисунок 11" descr="Безымянный.jpg"/>
        <xdr:cNvPicPr>
          <a:picLocks noChangeAspect="1"/>
        </xdr:cNvPicPr>
      </xdr:nvPicPr>
      <xdr:blipFill>
        <a:blip xmlns:r="http://schemas.openxmlformats.org/officeDocument/2006/relationships" r:embed="rId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duotone>
            <a:prstClr val="black"/>
            <a:schemeClr val="accent2">
              <a:tint val="45000"/>
              <a:satMod val="400000"/>
            </a:schemeClr>
          </a:duotone>
        </a:blip>
        <a:srcRect/>
        <a:stretch>
          <a:fillRect/>
        </a:stretch>
      </xdr:blipFill>
      <xdr:spPr bwMode="auto">
        <a:xfrm rot="21022960" flipH="1">
          <a:off x="350675" y="47092579"/>
          <a:ext cx="7277794" cy="21486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5334000</xdr:colOff>
      <xdr:row>24</xdr:row>
      <xdr:rowOff>3514725</xdr:rowOff>
    </xdr:from>
    <xdr:to>
      <xdr:col>0</xdr:col>
      <xdr:colOff>8105775</xdr:colOff>
      <xdr:row>24</xdr:row>
      <xdr:rowOff>3514725</xdr:rowOff>
    </xdr:to>
    <xdr:pic>
      <xdr:nvPicPr>
        <xdr:cNvPr id="26" name="Рисунок 1"/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5334000" y="48463200"/>
          <a:ext cx="2771775" cy="1628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6429375</xdr:colOff>
      <xdr:row>22</xdr:row>
      <xdr:rowOff>2238375</xdr:rowOff>
    </xdr:from>
    <xdr:to>
      <xdr:col>0</xdr:col>
      <xdr:colOff>8552782</xdr:colOff>
      <xdr:row>22</xdr:row>
      <xdr:rowOff>3486150</xdr:rowOff>
    </xdr:to>
    <xdr:pic>
      <xdr:nvPicPr>
        <xdr:cNvPr id="27" name="Рисунок 1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429375" y="52435125"/>
          <a:ext cx="2123407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6667500</xdr:colOff>
      <xdr:row>24</xdr:row>
      <xdr:rowOff>2095500</xdr:rowOff>
    </xdr:from>
    <xdr:to>
      <xdr:col>0</xdr:col>
      <xdr:colOff>9191625</xdr:colOff>
      <xdr:row>24</xdr:row>
      <xdr:rowOff>3578749</xdr:rowOff>
    </xdr:to>
    <xdr:pic>
      <xdr:nvPicPr>
        <xdr:cNvPr id="28" name="Рисунок 1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667500" y="48339375"/>
          <a:ext cx="2524125" cy="1483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352425</xdr:colOff>
      <xdr:row>15</xdr:row>
      <xdr:rowOff>63500</xdr:rowOff>
    </xdr:from>
    <xdr:to>
      <xdr:col>0</xdr:col>
      <xdr:colOff>1125273</xdr:colOff>
      <xdr:row>15</xdr:row>
      <xdr:rowOff>869950</xdr:rowOff>
    </xdr:to>
    <xdr:pic>
      <xdr:nvPicPr>
        <xdr:cNvPr id="2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52425" y="5016500"/>
          <a:ext cx="772848" cy="8064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238125</xdr:colOff>
      <xdr:row>16</xdr:row>
      <xdr:rowOff>127000</xdr:rowOff>
    </xdr:from>
    <xdr:to>
      <xdr:col>0</xdr:col>
      <xdr:colOff>1271166</xdr:colOff>
      <xdr:row>16</xdr:row>
      <xdr:rowOff>812800</xdr:rowOff>
    </xdr:to>
    <xdr:pic>
      <xdr:nvPicPr>
        <xdr:cNvPr id="3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38125" y="6032500"/>
          <a:ext cx="1033041" cy="6858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466725</xdr:colOff>
      <xdr:row>17</xdr:row>
      <xdr:rowOff>116332</xdr:rowOff>
    </xdr:from>
    <xdr:to>
      <xdr:col>0</xdr:col>
      <xdr:colOff>1111250</xdr:colOff>
      <xdr:row>17</xdr:row>
      <xdr:rowOff>838200</xdr:rowOff>
    </xdr:to>
    <xdr:pic>
      <xdr:nvPicPr>
        <xdr:cNvPr id="4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66725" y="6974332"/>
          <a:ext cx="644525" cy="721868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190501</xdr:colOff>
      <xdr:row>18</xdr:row>
      <xdr:rowOff>156150</xdr:rowOff>
    </xdr:from>
    <xdr:to>
      <xdr:col>0</xdr:col>
      <xdr:colOff>1270001</xdr:colOff>
      <xdr:row>18</xdr:row>
      <xdr:rowOff>819150</xdr:rowOff>
    </xdr:to>
    <xdr:pic>
      <xdr:nvPicPr>
        <xdr:cNvPr id="5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90501" y="7966650"/>
          <a:ext cx="1079500" cy="6630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323850</xdr:colOff>
      <xdr:row>19</xdr:row>
      <xdr:rowOff>95249</xdr:rowOff>
    </xdr:from>
    <xdr:to>
      <xdr:col>0</xdr:col>
      <xdr:colOff>1273402</xdr:colOff>
      <xdr:row>19</xdr:row>
      <xdr:rowOff>847724</xdr:rowOff>
    </xdr:to>
    <xdr:pic>
      <xdr:nvPicPr>
        <xdr:cNvPr id="6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23850" y="8858249"/>
          <a:ext cx="949552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447675</xdr:colOff>
      <xdr:row>20</xdr:row>
      <xdr:rowOff>127000</xdr:rowOff>
    </xdr:from>
    <xdr:to>
      <xdr:col>0</xdr:col>
      <xdr:colOff>1149350</xdr:colOff>
      <xdr:row>20</xdr:row>
      <xdr:rowOff>828675</xdr:rowOff>
    </xdr:to>
    <xdr:pic>
      <xdr:nvPicPr>
        <xdr:cNvPr id="7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47675" y="9842500"/>
          <a:ext cx="701675" cy="7016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476250</xdr:colOff>
      <xdr:row>21</xdr:row>
      <xdr:rowOff>158750</xdr:rowOff>
    </xdr:from>
    <xdr:to>
      <xdr:col>0</xdr:col>
      <xdr:colOff>1051027</xdr:colOff>
      <xdr:row>21</xdr:row>
      <xdr:rowOff>933450</xdr:rowOff>
    </xdr:to>
    <xdr:pic>
      <xdr:nvPicPr>
        <xdr:cNvPr id="8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76250" y="10826750"/>
          <a:ext cx="574777" cy="7747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501650</xdr:colOff>
      <xdr:row>22</xdr:row>
      <xdr:rowOff>158750</xdr:rowOff>
    </xdr:from>
    <xdr:to>
      <xdr:col>0</xdr:col>
      <xdr:colOff>1001713</xdr:colOff>
      <xdr:row>22</xdr:row>
      <xdr:rowOff>857250</xdr:rowOff>
    </xdr:to>
    <xdr:pic>
      <xdr:nvPicPr>
        <xdr:cNvPr id="9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501650" y="11779250"/>
          <a:ext cx="500063" cy="698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523875</xdr:colOff>
      <xdr:row>26</xdr:row>
      <xdr:rowOff>19050</xdr:rowOff>
    </xdr:from>
    <xdr:to>
      <xdr:col>0</xdr:col>
      <xdr:colOff>1257300</xdr:colOff>
      <xdr:row>26</xdr:row>
      <xdr:rowOff>933450</xdr:rowOff>
    </xdr:to>
    <xdr:pic>
      <xdr:nvPicPr>
        <xdr:cNvPr id="10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523875" y="15449550"/>
          <a:ext cx="733425" cy="9144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444500</xdr:colOff>
      <xdr:row>23</xdr:row>
      <xdr:rowOff>125302</xdr:rowOff>
    </xdr:from>
    <xdr:to>
      <xdr:col>0</xdr:col>
      <xdr:colOff>1079500</xdr:colOff>
      <xdr:row>23</xdr:row>
      <xdr:rowOff>885825</xdr:rowOff>
    </xdr:to>
    <xdr:pic>
      <xdr:nvPicPr>
        <xdr:cNvPr id="1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44500" y="12698302"/>
          <a:ext cx="635000" cy="760523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222250</xdr:colOff>
      <xdr:row>27</xdr:row>
      <xdr:rowOff>164382</xdr:rowOff>
    </xdr:from>
    <xdr:to>
      <xdr:col>0</xdr:col>
      <xdr:colOff>1270000</xdr:colOff>
      <xdr:row>27</xdr:row>
      <xdr:rowOff>857249</xdr:rowOff>
    </xdr:to>
    <xdr:pic>
      <xdr:nvPicPr>
        <xdr:cNvPr id="12" name="Picture 499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22250" y="16547382"/>
          <a:ext cx="1047750" cy="692867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238125</xdr:colOff>
      <xdr:row>28</xdr:row>
      <xdr:rowOff>150282</xdr:rowOff>
    </xdr:from>
    <xdr:to>
      <xdr:col>0</xdr:col>
      <xdr:colOff>1270000</xdr:colOff>
      <xdr:row>28</xdr:row>
      <xdr:rowOff>838199</xdr:rowOff>
    </xdr:to>
    <xdr:pic>
      <xdr:nvPicPr>
        <xdr:cNvPr id="13" name="Picture 499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38125" y="17485782"/>
          <a:ext cx="1031875" cy="687917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415926</xdr:colOff>
      <xdr:row>29</xdr:row>
      <xdr:rowOff>95250</xdr:rowOff>
    </xdr:from>
    <xdr:to>
      <xdr:col>0</xdr:col>
      <xdr:colOff>1201756</xdr:colOff>
      <xdr:row>29</xdr:row>
      <xdr:rowOff>803275</xdr:rowOff>
    </xdr:to>
    <xdr:pic>
      <xdr:nvPicPr>
        <xdr:cNvPr id="14" name="Picture 4992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15926" y="18383250"/>
          <a:ext cx="785830" cy="7080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361951</xdr:colOff>
      <xdr:row>30</xdr:row>
      <xdr:rowOff>63500</xdr:rowOff>
    </xdr:from>
    <xdr:to>
      <xdr:col>0</xdr:col>
      <xdr:colOff>1139335</xdr:colOff>
      <xdr:row>30</xdr:row>
      <xdr:rowOff>857250</xdr:rowOff>
    </xdr:to>
    <xdr:pic>
      <xdr:nvPicPr>
        <xdr:cNvPr id="15" name="Picture 499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61951" y="19304000"/>
          <a:ext cx="777384" cy="7937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508001</xdr:colOff>
      <xdr:row>34</xdr:row>
      <xdr:rowOff>210299</xdr:rowOff>
    </xdr:from>
    <xdr:to>
      <xdr:col>0</xdr:col>
      <xdr:colOff>1174751</xdr:colOff>
      <xdr:row>34</xdr:row>
      <xdr:rowOff>809625</xdr:rowOff>
    </xdr:to>
    <xdr:pic>
      <xdr:nvPicPr>
        <xdr:cNvPr id="16" name="Picture 499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508001" y="23260799"/>
          <a:ext cx="666750" cy="599326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298451</xdr:colOff>
      <xdr:row>32</xdr:row>
      <xdr:rowOff>126999</xdr:rowOff>
    </xdr:from>
    <xdr:to>
      <xdr:col>0</xdr:col>
      <xdr:colOff>1281655</xdr:colOff>
      <xdr:row>32</xdr:row>
      <xdr:rowOff>854074</xdr:rowOff>
    </xdr:to>
    <xdr:pic>
      <xdr:nvPicPr>
        <xdr:cNvPr id="17" name="Picture 499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98451" y="21272499"/>
          <a:ext cx="983204" cy="727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298451</xdr:colOff>
      <xdr:row>31</xdr:row>
      <xdr:rowOff>111397</xdr:rowOff>
    </xdr:from>
    <xdr:to>
      <xdr:col>0</xdr:col>
      <xdr:colOff>1333501</xdr:colOff>
      <xdr:row>31</xdr:row>
      <xdr:rowOff>825501</xdr:rowOff>
    </xdr:to>
    <xdr:pic>
      <xdr:nvPicPr>
        <xdr:cNvPr id="18" name="Picture 4998" descr="kronsht_na_kamen_120_1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298451" y="20304397"/>
          <a:ext cx="1035050" cy="7141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171450</xdr:colOff>
      <xdr:row>25</xdr:row>
      <xdr:rowOff>123825</xdr:rowOff>
    </xdr:from>
    <xdr:to>
      <xdr:col>0</xdr:col>
      <xdr:colOff>1266825</xdr:colOff>
      <xdr:row>25</xdr:row>
      <xdr:rowOff>847725</xdr:rowOff>
    </xdr:to>
    <xdr:pic>
      <xdr:nvPicPr>
        <xdr:cNvPr id="19" name="Picture 2560" descr="IMG_1866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71450" y="14601825"/>
          <a:ext cx="10953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473076</xdr:colOff>
      <xdr:row>24</xdr:row>
      <xdr:rowOff>31750</xdr:rowOff>
    </xdr:from>
    <xdr:to>
      <xdr:col>0</xdr:col>
      <xdr:colOff>1041568</xdr:colOff>
      <xdr:row>24</xdr:row>
      <xdr:rowOff>889000</xdr:rowOff>
    </xdr:to>
    <xdr:pic>
      <xdr:nvPicPr>
        <xdr:cNvPr id="20" name="Picture 2561" descr="IMG_1867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73076" y="13557250"/>
          <a:ext cx="568492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476251</xdr:colOff>
      <xdr:row>40</xdr:row>
      <xdr:rowOff>63499</xdr:rowOff>
    </xdr:from>
    <xdr:to>
      <xdr:col>0</xdr:col>
      <xdr:colOff>1717089</xdr:colOff>
      <xdr:row>40</xdr:row>
      <xdr:rowOff>873124</xdr:rowOff>
    </xdr:to>
    <xdr:pic>
      <xdr:nvPicPr>
        <xdr:cNvPr id="21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76251" y="26923999"/>
          <a:ext cx="1240838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381000</xdr:colOff>
      <xdr:row>41</xdr:row>
      <xdr:rowOff>158750</xdr:rowOff>
    </xdr:from>
    <xdr:to>
      <xdr:col>0</xdr:col>
      <xdr:colOff>1762125</xdr:colOff>
      <xdr:row>41</xdr:row>
      <xdr:rowOff>930275</xdr:rowOff>
    </xdr:to>
    <xdr:pic>
      <xdr:nvPicPr>
        <xdr:cNvPr id="22" name="Picture 2" descr="C:\Documents and Settings\okomolov\Рабочий стол\Гофра_фото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381000" y="28130500"/>
          <a:ext cx="13811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absolute">
    <xdr:from>
      <xdr:col>6</xdr:col>
      <xdr:colOff>15870</xdr:colOff>
      <xdr:row>12</xdr:row>
      <xdr:rowOff>473063</xdr:rowOff>
    </xdr:from>
    <xdr:to>
      <xdr:col>7</xdr:col>
      <xdr:colOff>2484437</xdr:colOff>
      <xdr:row>40</xdr:row>
      <xdr:rowOff>952498</xdr:rowOff>
    </xdr:to>
    <xdr:grpSp>
      <xdr:nvGrpSpPr>
        <xdr:cNvPr id="23" name="Группа 1"/>
        <xdr:cNvGrpSpPr>
          <a:grpSpLocks/>
        </xdr:cNvGrpSpPr>
      </xdr:nvGrpSpPr>
      <xdr:grpSpPr bwMode="auto">
        <a:xfrm>
          <a:off x="19229918" y="2949890"/>
          <a:ext cx="5220856" cy="24391757"/>
          <a:chOff x="13248409" y="2114550"/>
          <a:chExt cx="2712027" cy="10662805"/>
        </a:xfrm>
      </xdr:grpSpPr>
      <xdr:sp macro="" textlink="">
        <xdr:nvSpPr>
          <xdr:cNvPr id="24" name="TextBox 69"/>
          <xdr:cNvSpPr txBox="1">
            <a:spLocks noChangeArrowheads="1"/>
          </xdr:cNvSpPr>
        </xdr:nvSpPr>
        <xdr:spPr bwMode="auto">
          <a:xfrm>
            <a:off x="13248409" y="2114550"/>
            <a:ext cx="2712027" cy="10662805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rgbClr val="000000">
                <a:alpha val="59999"/>
              </a:srgbClr>
            </a:outerShdw>
          </a:effectLst>
        </xdr:spPr>
        <xdr:txBody>
          <a:bodyPr vertOverflow="clip" wrap="square" lIns="27432" tIns="0" rIns="0" bIns="22860" anchor="b" upright="1"/>
          <a:lstStyle/>
          <a:p>
            <a:pPr algn="l" rtl="0">
              <a:defRPr sz="1000"/>
            </a:pPr>
            <a:r>
              <a:rPr lang="ru-RU" sz="3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1. Защищен с двух сторон</a:t>
            </a:r>
            <a:r>
              <a:rPr lang="ru-RU" sz="3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- двустороннее полимерное покрытие на основе полиуретана увеличивает коррозийную стойкость</a:t>
            </a:r>
            <a:r>
              <a:rPr lang="en-US" sz="3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.</a:t>
            </a:r>
            <a:endParaRPr lang="ru-RU" sz="3000" b="0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ru-RU" sz="3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2. Пропускная способность на 25% выше</a:t>
            </a:r>
            <a:r>
              <a:rPr lang="ru-RU" sz="3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- за счет оптимального соотношения глубины желоба и диаметра водосточной трубы</a:t>
            </a:r>
            <a:r>
              <a:rPr lang="en-US" sz="3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.</a:t>
            </a:r>
            <a:endParaRPr lang="ru-RU" sz="3000" b="0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ru-RU" sz="3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3. Больше прочности в каждом милиметре</a:t>
            </a:r>
            <a:r>
              <a:rPr lang="ru-RU" sz="3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- имеет большую толщину стали по сравнению с большинством других водосточных систем</a:t>
            </a:r>
            <a:r>
              <a:rPr lang="en-US" sz="3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.</a:t>
            </a:r>
            <a:endParaRPr lang="ru-RU" sz="30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ru-RU" sz="3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4. Отсутствие разнооттеночности на протяжении всего срока службы </a:t>
            </a:r>
            <a:r>
              <a:rPr lang="ru-RU" sz="3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- абсолютно все элементы изготовлены из европейской стали с двусторонним покрытием на основе полиуретана</a:t>
            </a:r>
            <a:r>
              <a:rPr lang="en-US" sz="3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.</a:t>
            </a:r>
            <a:endParaRPr lang="ru-RU" sz="3000" b="0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ru-RU" sz="3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5. Уникальная письменная гарантия</a:t>
            </a:r>
            <a:r>
              <a:rPr lang="ru-RU" sz="3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- единственная в РФ фирменная письменная гарантия 25 лет на водосточную систему с двусторонним покрытием на основе полиуретана</a:t>
            </a:r>
            <a:r>
              <a:rPr lang="en-US" sz="30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.</a:t>
            </a:r>
          </a:p>
          <a:p>
            <a:pPr algn="l" rtl="0">
              <a:defRPr sz="1000"/>
            </a:pPr>
            <a:endParaRPr lang="en-US" sz="3000" b="0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3000" b="0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</xdr:txBody>
      </xdr:sp>
      <xdr:pic>
        <xdr:nvPicPr>
          <xdr:cNvPr id="25" name="Рисунок 3"/>
          <xdr:cNvPicPr>
            <a:picLocks noChangeAspect="1"/>
          </xdr:cNvPicPr>
        </xdr:nvPicPr>
        <xdr:blipFill>
          <a:blip xmlns:r="http://schemas.openxmlformats.org/officeDocument/2006/relationships" r:embed="rId22" cstate="print"/>
          <a:srcRect/>
          <a:stretch>
            <a:fillRect/>
          </a:stretch>
        </xdr:blipFill>
        <xdr:spPr bwMode="auto">
          <a:xfrm>
            <a:off x="13279482" y="2740500"/>
            <a:ext cx="2644618" cy="134772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6" name="Рисунок 1"/>
          <xdr:cNvPicPr>
            <a:picLocks noChangeAspect="1"/>
          </xdr:cNvPicPr>
        </xdr:nvPicPr>
        <xdr:blipFill>
          <a:blip xmlns:r="http://schemas.openxmlformats.org/officeDocument/2006/relationships" r:embed="rId23" cstate="print"/>
          <a:srcRect/>
          <a:stretch>
            <a:fillRect/>
          </a:stretch>
        </xdr:blipFill>
        <xdr:spPr bwMode="auto">
          <a:xfrm>
            <a:off x="14337343" y="4516201"/>
            <a:ext cx="1276323" cy="1318701"/>
          </a:xfrm>
          <a:prstGeom prst="rect">
            <a:avLst/>
          </a:prstGeom>
          <a:noFill/>
          <a:ln>
            <a:noFill/>
          </a:ln>
          <a:effectLst>
            <a:outerShdw blurRad="50800" dist="38100" dir="18900000" algn="bl" rotWithShape="0">
              <a:srgbClr val="000000">
                <a:alpha val="39999"/>
              </a:srgbClr>
            </a:outerShdw>
          </a:effectLst>
          <a:extLst/>
        </xdr:spPr>
      </xdr:pic>
      <xdr:pic>
        <xdr:nvPicPr>
          <xdr:cNvPr id="27" name="Рисунок 2"/>
          <xdr:cNvPicPr>
            <a:picLocks noChangeAspect="1"/>
          </xdr:cNvPicPr>
        </xdr:nvPicPr>
        <xdr:blipFill>
          <a:blip xmlns:r="http://schemas.openxmlformats.org/officeDocument/2006/relationships" r:embed="rId24" cstate="print"/>
          <a:srcRect/>
          <a:stretch>
            <a:fillRect/>
          </a:stretch>
        </xdr:blipFill>
        <xdr:spPr bwMode="auto">
          <a:xfrm>
            <a:off x="13272031" y="4099927"/>
            <a:ext cx="1457377" cy="1502238"/>
          </a:xfrm>
          <a:prstGeom prst="rect">
            <a:avLst/>
          </a:prstGeom>
          <a:noFill/>
          <a:ln>
            <a:noFill/>
          </a:ln>
          <a:effectLst>
            <a:outerShdw blurRad="50800" dist="38100" dir="18900000" algn="bl" rotWithShape="0">
              <a:srgbClr val="000000">
                <a:alpha val="39999"/>
              </a:srgbClr>
            </a:outerShdw>
          </a:effectLst>
          <a:extLst/>
        </xdr:spPr>
      </xdr:pic>
      <xdr:sp macro="" textlink="">
        <xdr:nvSpPr>
          <xdr:cNvPr id="28" name="TextBox 64"/>
          <xdr:cNvSpPr txBox="1">
            <a:spLocks noChangeArrowheads="1"/>
          </xdr:cNvSpPr>
        </xdr:nvSpPr>
        <xdr:spPr bwMode="auto">
          <a:xfrm>
            <a:off x="13268877" y="2136422"/>
            <a:ext cx="2671091" cy="596023"/>
          </a:xfrm>
          <a:prstGeom prst="rect">
            <a:avLst/>
          </a:prstGeom>
          <a:solidFill>
            <a:srgbClr val="C00000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28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Водосточные системы </a:t>
            </a:r>
          </a:p>
          <a:p>
            <a:pPr algn="ctr" rtl="0">
              <a:defRPr sz="1000"/>
            </a:pPr>
            <a:r>
              <a:rPr lang="en-US" sz="28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Grand Line</a:t>
            </a:r>
          </a:p>
        </xdr:txBody>
      </xdr:sp>
    </xdr:grpSp>
    <xdr:clientData/>
  </xdr:twoCellAnchor>
  <xdr:twoCellAnchor editAs="oneCell">
    <xdr:from>
      <xdr:col>0</xdr:col>
      <xdr:colOff>666750</xdr:colOff>
      <xdr:row>42</xdr:row>
      <xdr:rowOff>127000</xdr:rowOff>
    </xdr:from>
    <xdr:to>
      <xdr:col>0</xdr:col>
      <xdr:colOff>1365905</xdr:colOff>
      <xdr:row>42</xdr:row>
      <xdr:rowOff>974725</xdr:rowOff>
    </xdr:to>
    <xdr:pic>
      <xdr:nvPicPr>
        <xdr:cNvPr id="29" name="Рисунок 22" descr="IMG_3539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66750" y="29035375"/>
          <a:ext cx="699155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527050</xdr:colOff>
      <xdr:row>33</xdr:row>
      <xdr:rowOff>44450</xdr:rowOff>
    </xdr:from>
    <xdr:to>
      <xdr:col>0</xdr:col>
      <xdr:colOff>1155700</xdr:colOff>
      <xdr:row>33</xdr:row>
      <xdr:rowOff>901700</xdr:rowOff>
    </xdr:to>
    <xdr:pic>
      <xdr:nvPicPr>
        <xdr:cNvPr id="30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527050" y="22142450"/>
          <a:ext cx="628650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95253</xdr:colOff>
      <xdr:row>38</xdr:row>
      <xdr:rowOff>190499</xdr:rowOff>
    </xdr:from>
    <xdr:to>
      <xdr:col>0</xdr:col>
      <xdr:colOff>2063753</xdr:colOff>
      <xdr:row>38</xdr:row>
      <xdr:rowOff>760094</xdr:rowOff>
    </xdr:to>
    <xdr:pic>
      <xdr:nvPicPr>
        <xdr:cNvPr id="32" name="Рисунок 31" descr="герметик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 rot="16200000">
          <a:off x="794705" y="25557797"/>
          <a:ext cx="569595" cy="1968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1128446</xdr:colOff>
      <xdr:row>11</xdr:row>
      <xdr:rowOff>79389</xdr:rowOff>
    </xdr:to>
    <xdr:pic>
      <xdr:nvPicPr>
        <xdr:cNvPr id="3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0"/>
          <a:ext cx="10272446" cy="223838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398321</xdr:colOff>
      <xdr:row>39</xdr:row>
      <xdr:rowOff>105456</xdr:rowOff>
    </xdr:from>
    <xdr:to>
      <xdr:col>0</xdr:col>
      <xdr:colOff>1833565</xdr:colOff>
      <xdr:row>39</xdr:row>
      <xdr:rowOff>857250</xdr:rowOff>
    </xdr:to>
    <xdr:pic>
      <xdr:nvPicPr>
        <xdr:cNvPr id="34" name="Picture 10627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398321" y="26513519"/>
          <a:ext cx="1435244" cy="751794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409575</xdr:colOff>
      <xdr:row>12</xdr:row>
      <xdr:rowOff>76200</xdr:rowOff>
    </xdr:from>
    <xdr:to>
      <xdr:col>0</xdr:col>
      <xdr:colOff>1695450</xdr:colOff>
      <xdr:row>12</xdr:row>
      <xdr:rowOff>771525</xdr:rowOff>
    </xdr:to>
    <xdr:pic>
      <xdr:nvPicPr>
        <xdr:cNvPr id="2" name="Picture 68" descr="желоб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2409825"/>
          <a:ext cx="12858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400051</xdr:colOff>
      <xdr:row>28</xdr:row>
      <xdr:rowOff>47625</xdr:rowOff>
    </xdr:from>
    <xdr:to>
      <xdr:col>0</xdr:col>
      <xdr:colOff>1395073</xdr:colOff>
      <xdr:row>28</xdr:row>
      <xdr:rowOff>762000</xdr:rowOff>
    </xdr:to>
    <xdr:pic>
      <xdr:nvPicPr>
        <xdr:cNvPr id="3" name="Picture 69" descr="021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00051" y="14173200"/>
          <a:ext cx="995022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438150</xdr:colOff>
      <xdr:row>30</xdr:row>
      <xdr:rowOff>57151</xdr:rowOff>
    </xdr:from>
    <xdr:to>
      <xdr:col>0</xdr:col>
      <xdr:colOff>1410357</xdr:colOff>
      <xdr:row>30</xdr:row>
      <xdr:rowOff>762001</xdr:rowOff>
    </xdr:to>
    <xdr:pic>
      <xdr:nvPicPr>
        <xdr:cNvPr id="4" name="Picture 70" descr="02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38150" y="15859126"/>
          <a:ext cx="972207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123825</xdr:colOff>
      <xdr:row>15</xdr:row>
      <xdr:rowOff>171450</xdr:rowOff>
    </xdr:from>
    <xdr:to>
      <xdr:col>0</xdr:col>
      <xdr:colOff>885825</xdr:colOff>
      <xdr:row>15</xdr:row>
      <xdr:rowOff>742950</xdr:rowOff>
    </xdr:to>
    <xdr:pic>
      <xdr:nvPicPr>
        <xdr:cNvPr id="5" name="Picture 71" descr="01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23825" y="4219575"/>
          <a:ext cx="762000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1000125</xdr:colOff>
      <xdr:row>15</xdr:row>
      <xdr:rowOff>142875</xdr:rowOff>
    </xdr:from>
    <xdr:to>
      <xdr:col>0</xdr:col>
      <xdr:colOff>1762125</xdr:colOff>
      <xdr:row>15</xdr:row>
      <xdr:rowOff>714375</xdr:rowOff>
    </xdr:to>
    <xdr:pic>
      <xdr:nvPicPr>
        <xdr:cNvPr id="6" name="Picture 72" descr="01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000125" y="4191000"/>
          <a:ext cx="762000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419101</xdr:colOff>
      <xdr:row>18</xdr:row>
      <xdr:rowOff>76201</xdr:rowOff>
    </xdr:from>
    <xdr:to>
      <xdr:col>0</xdr:col>
      <xdr:colOff>1371601</xdr:colOff>
      <xdr:row>18</xdr:row>
      <xdr:rowOff>723901</xdr:rowOff>
    </xdr:to>
    <xdr:pic>
      <xdr:nvPicPr>
        <xdr:cNvPr id="7" name="Picture 73" descr="0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19101" y="6677026"/>
          <a:ext cx="95250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533400</xdr:colOff>
      <xdr:row>14</xdr:row>
      <xdr:rowOff>114300</xdr:rowOff>
    </xdr:from>
    <xdr:to>
      <xdr:col>0</xdr:col>
      <xdr:colOff>1217901</xdr:colOff>
      <xdr:row>14</xdr:row>
      <xdr:rowOff>762000</xdr:rowOff>
    </xdr:to>
    <xdr:pic>
      <xdr:nvPicPr>
        <xdr:cNvPr id="8" name="Picture 74" descr="015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533400" y="3324225"/>
          <a:ext cx="684501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361950</xdr:colOff>
      <xdr:row>25</xdr:row>
      <xdr:rowOff>95250</xdr:rowOff>
    </xdr:from>
    <xdr:to>
      <xdr:col>0</xdr:col>
      <xdr:colOff>1524000</xdr:colOff>
      <xdr:row>25</xdr:row>
      <xdr:rowOff>789011</xdr:rowOff>
    </xdr:to>
    <xdr:pic>
      <xdr:nvPicPr>
        <xdr:cNvPr id="9" name="Picture 75" descr="01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61950" y="11439525"/>
          <a:ext cx="1162050" cy="6937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485775</xdr:colOff>
      <xdr:row>23</xdr:row>
      <xdr:rowOff>76200</xdr:rowOff>
    </xdr:from>
    <xdr:to>
      <xdr:col>0</xdr:col>
      <xdr:colOff>1409700</xdr:colOff>
      <xdr:row>23</xdr:row>
      <xdr:rowOff>725835</xdr:rowOff>
    </xdr:to>
    <xdr:pic>
      <xdr:nvPicPr>
        <xdr:cNvPr id="10" name="Picture 76" descr="01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85775" y="10582275"/>
          <a:ext cx="923925" cy="649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609601</xdr:colOff>
      <xdr:row>19</xdr:row>
      <xdr:rowOff>66675</xdr:rowOff>
    </xdr:from>
    <xdr:to>
      <xdr:col>0</xdr:col>
      <xdr:colOff>990601</xdr:colOff>
      <xdr:row>19</xdr:row>
      <xdr:rowOff>780037</xdr:rowOff>
    </xdr:to>
    <xdr:pic>
      <xdr:nvPicPr>
        <xdr:cNvPr id="11" name="Picture 77" descr="00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09601" y="7505700"/>
          <a:ext cx="381000" cy="7133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342901</xdr:colOff>
      <xdr:row>16</xdr:row>
      <xdr:rowOff>85725</xdr:rowOff>
    </xdr:from>
    <xdr:to>
      <xdr:col>0</xdr:col>
      <xdr:colOff>1378745</xdr:colOff>
      <xdr:row>16</xdr:row>
      <xdr:rowOff>742950</xdr:rowOff>
    </xdr:to>
    <xdr:pic>
      <xdr:nvPicPr>
        <xdr:cNvPr id="12" name="Picture 78" descr="00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342901" y="4972050"/>
          <a:ext cx="1035844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304801</xdr:colOff>
      <xdr:row>17</xdr:row>
      <xdr:rowOff>47625</xdr:rowOff>
    </xdr:from>
    <xdr:to>
      <xdr:col>0</xdr:col>
      <xdr:colOff>1460743</xdr:colOff>
      <xdr:row>17</xdr:row>
      <xdr:rowOff>781050</xdr:rowOff>
    </xdr:to>
    <xdr:pic>
      <xdr:nvPicPr>
        <xdr:cNvPr id="13" name="Picture 79" descr="00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04801" y="5791200"/>
          <a:ext cx="1155942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428625</xdr:colOff>
      <xdr:row>26</xdr:row>
      <xdr:rowOff>85725</xdr:rowOff>
    </xdr:from>
    <xdr:to>
      <xdr:col>0</xdr:col>
      <xdr:colOff>1525905</xdr:colOff>
      <xdr:row>26</xdr:row>
      <xdr:rowOff>857250</xdr:rowOff>
    </xdr:to>
    <xdr:pic>
      <xdr:nvPicPr>
        <xdr:cNvPr id="14" name="Picture 80" descr="01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28625" y="12306300"/>
          <a:ext cx="109728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342900</xdr:colOff>
      <xdr:row>27</xdr:row>
      <xdr:rowOff>95250</xdr:rowOff>
    </xdr:from>
    <xdr:to>
      <xdr:col>0</xdr:col>
      <xdr:colOff>1619250</xdr:colOff>
      <xdr:row>27</xdr:row>
      <xdr:rowOff>857250</xdr:rowOff>
    </xdr:to>
    <xdr:pic>
      <xdr:nvPicPr>
        <xdr:cNvPr id="15" name="Picture 81" descr="01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42900" y="13268325"/>
          <a:ext cx="12763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457201</xdr:colOff>
      <xdr:row>22</xdr:row>
      <xdr:rowOff>57150</xdr:rowOff>
    </xdr:from>
    <xdr:to>
      <xdr:col>0</xdr:col>
      <xdr:colOff>1434379</xdr:colOff>
      <xdr:row>22</xdr:row>
      <xdr:rowOff>762000</xdr:rowOff>
    </xdr:to>
    <xdr:pic>
      <xdr:nvPicPr>
        <xdr:cNvPr id="17" name="Picture 2707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57201" y="9705975"/>
          <a:ext cx="977178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</xdr:colOff>
      <xdr:row>32</xdr:row>
      <xdr:rowOff>38100</xdr:rowOff>
    </xdr:from>
    <xdr:to>
      <xdr:col>0</xdr:col>
      <xdr:colOff>1968502</xdr:colOff>
      <xdr:row>32</xdr:row>
      <xdr:rowOff>607695</xdr:rowOff>
    </xdr:to>
    <xdr:pic>
      <xdr:nvPicPr>
        <xdr:cNvPr id="18" name="Рисунок 17" descr="герметик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 rot="16200000">
          <a:off x="699454" y="18693448"/>
          <a:ext cx="569595" cy="1968500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34</xdr:row>
      <xdr:rowOff>19050</xdr:rowOff>
    </xdr:from>
    <xdr:to>
      <xdr:col>0</xdr:col>
      <xdr:colOff>1684017</xdr:colOff>
      <xdr:row>34</xdr:row>
      <xdr:rowOff>666749</xdr:rowOff>
    </xdr:to>
    <xdr:pic>
      <xdr:nvPicPr>
        <xdr:cNvPr id="19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95300" y="20707350"/>
          <a:ext cx="1188717" cy="6476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609600</xdr:colOff>
      <xdr:row>35</xdr:row>
      <xdr:rowOff>38100</xdr:rowOff>
    </xdr:from>
    <xdr:to>
      <xdr:col>0</xdr:col>
      <xdr:colOff>1581503</xdr:colOff>
      <xdr:row>35</xdr:row>
      <xdr:rowOff>581025</xdr:rowOff>
    </xdr:to>
    <xdr:pic>
      <xdr:nvPicPr>
        <xdr:cNvPr id="20" name="Picture 2" descr="C:\Documents and Settings\okomolov\Рабочий стол\Гофра_фото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09600" y="21450300"/>
          <a:ext cx="971903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1</xdr:rowOff>
    </xdr:from>
    <xdr:to>
      <xdr:col>1</xdr:col>
      <xdr:colOff>4191000</xdr:colOff>
      <xdr:row>7</xdr:row>
      <xdr:rowOff>47091</xdr:rowOff>
    </xdr:to>
    <xdr:pic>
      <xdr:nvPicPr>
        <xdr:cNvPr id="2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"/>
          <a:ext cx="6248400" cy="1361540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398321</xdr:colOff>
      <xdr:row>33</xdr:row>
      <xdr:rowOff>29256</xdr:rowOff>
    </xdr:from>
    <xdr:to>
      <xdr:col>0</xdr:col>
      <xdr:colOff>1833565</xdr:colOff>
      <xdr:row>33</xdr:row>
      <xdr:rowOff>609600</xdr:rowOff>
    </xdr:to>
    <xdr:pic>
      <xdr:nvPicPr>
        <xdr:cNvPr id="22" name="Picture 10627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398321" y="20050806"/>
          <a:ext cx="1435244" cy="580344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333375</xdr:colOff>
      <xdr:row>13</xdr:row>
      <xdr:rowOff>47625</xdr:rowOff>
    </xdr:from>
    <xdr:to>
      <xdr:col>0</xdr:col>
      <xdr:colOff>1619250</xdr:colOff>
      <xdr:row>13</xdr:row>
      <xdr:rowOff>742950</xdr:rowOff>
    </xdr:to>
    <xdr:pic>
      <xdr:nvPicPr>
        <xdr:cNvPr id="23" name="Picture 68" descr="желоб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3838575"/>
          <a:ext cx="12858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533400</xdr:colOff>
      <xdr:row>24</xdr:row>
      <xdr:rowOff>57150</xdr:rowOff>
    </xdr:from>
    <xdr:to>
      <xdr:col>0</xdr:col>
      <xdr:colOff>1457325</xdr:colOff>
      <xdr:row>24</xdr:row>
      <xdr:rowOff>706785</xdr:rowOff>
    </xdr:to>
    <xdr:pic>
      <xdr:nvPicPr>
        <xdr:cNvPr id="24" name="Picture 76" descr="01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533400" y="12858750"/>
          <a:ext cx="923925" cy="649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571500</xdr:colOff>
      <xdr:row>34</xdr:row>
      <xdr:rowOff>190500</xdr:rowOff>
    </xdr:from>
    <xdr:to>
      <xdr:col>1</xdr:col>
      <xdr:colOff>1704975</xdr:colOff>
      <xdr:row>34</xdr:row>
      <xdr:rowOff>1123950</xdr:rowOff>
    </xdr:to>
    <xdr:pic>
      <xdr:nvPicPr>
        <xdr:cNvPr id="2" name="Рисунок 28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820150" y="25679400"/>
          <a:ext cx="1133475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600075</xdr:colOff>
      <xdr:row>35</xdr:row>
      <xdr:rowOff>95250</xdr:rowOff>
    </xdr:from>
    <xdr:to>
      <xdr:col>1</xdr:col>
      <xdr:colOff>1714500</xdr:colOff>
      <xdr:row>35</xdr:row>
      <xdr:rowOff>1022377</xdr:rowOff>
    </xdr:to>
    <xdr:pic>
      <xdr:nvPicPr>
        <xdr:cNvPr id="3" name="Рисунок 29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458200" y="42243375"/>
          <a:ext cx="1114425" cy="9271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504825</xdr:colOff>
      <xdr:row>15</xdr:row>
      <xdr:rowOff>238125</xdr:rowOff>
    </xdr:from>
    <xdr:to>
      <xdr:col>11</xdr:col>
      <xdr:colOff>2590800</xdr:colOff>
      <xdr:row>16</xdr:row>
      <xdr:rowOff>457200</xdr:rowOff>
    </xdr:to>
    <xdr:pic>
      <xdr:nvPicPr>
        <xdr:cNvPr id="4" name="Picture 23" descr="J-профиль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4205525" y="11944350"/>
          <a:ext cx="2085975" cy="1571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581025</xdr:colOff>
      <xdr:row>17</xdr:row>
      <xdr:rowOff>142875</xdr:rowOff>
    </xdr:from>
    <xdr:to>
      <xdr:col>11</xdr:col>
      <xdr:colOff>2524125</xdr:colOff>
      <xdr:row>17</xdr:row>
      <xdr:rowOff>2047875</xdr:rowOff>
    </xdr:to>
    <xdr:pic>
      <xdr:nvPicPr>
        <xdr:cNvPr id="5" name="Picture 24" descr="J-профиль (наличник)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3300650" y="13382625"/>
          <a:ext cx="1943100" cy="1905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1419225</xdr:colOff>
      <xdr:row>29</xdr:row>
      <xdr:rowOff>47626</xdr:rowOff>
    </xdr:from>
    <xdr:to>
      <xdr:col>11</xdr:col>
      <xdr:colOff>2667000</xdr:colOff>
      <xdr:row>29</xdr:row>
      <xdr:rowOff>1437194</xdr:rowOff>
    </xdr:to>
    <xdr:pic>
      <xdr:nvPicPr>
        <xdr:cNvPr id="6" name="Picture 25" descr="J-фаска (ветровая доска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4138850" y="30051376"/>
          <a:ext cx="1247775" cy="13895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742950</xdr:colOff>
      <xdr:row>24</xdr:row>
      <xdr:rowOff>447675</xdr:rowOff>
    </xdr:from>
    <xdr:to>
      <xdr:col>11</xdr:col>
      <xdr:colOff>2371725</xdr:colOff>
      <xdr:row>25</xdr:row>
      <xdr:rowOff>190500</xdr:rowOff>
    </xdr:to>
    <xdr:pic>
      <xdr:nvPicPr>
        <xdr:cNvPr id="7" name="Picture 26" descr="Внешний угол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4443650" y="22745700"/>
          <a:ext cx="1628775" cy="145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981075</xdr:colOff>
      <xdr:row>26</xdr:row>
      <xdr:rowOff>114300</xdr:rowOff>
    </xdr:from>
    <xdr:to>
      <xdr:col>11</xdr:col>
      <xdr:colOff>2381250</xdr:colOff>
      <xdr:row>26</xdr:row>
      <xdr:rowOff>1714500</xdr:rowOff>
    </xdr:to>
    <xdr:pic>
      <xdr:nvPicPr>
        <xdr:cNvPr id="8" name="Picture 27" descr="Внутренний угол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4681775" y="24364950"/>
          <a:ext cx="1400175" cy="1600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495300</xdr:colOff>
      <xdr:row>14</xdr:row>
      <xdr:rowOff>838200</xdr:rowOff>
    </xdr:from>
    <xdr:to>
      <xdr:col>11</xdr:col>
      <xdr:colOff>2428875</xdr:colOff>
      <xdr:row>15</xdr:row>
      <xdr:rowOff>19050</xdr:rowOff>
    </xdr:to>
    <xdr:pic>
      <xdr:nvPicPr>
        <xdr:cNvPr id="9" name="Picture 28" descr="Н-профиль соединит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4196000" y="9201150"/>
          <a:ext cx="1933575" cy="1943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714375</xdr:colOff>
      <xdr:row>31</xdr:row>
      <xdr:rowOff>904875</xdr:rowOff>
    </xdr:from>
    <xdr:to>
      <xdr:col>11</xdr:col>
      <xdr:colOff>3286125</xdr:colOff>
      <xdr:row>32</xdr:row>
      <xdr:rowOff>752475</xdr:rowOff>
    </xdr:to>
    <xdr:pic>
      <xdr:nvPicPr>
        <xdr:cNvPr id="10" name="Picture 29" descr="Околооконная  планка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3434000" y="32146875"/>
          <a:ext cx="257175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962025</xdr:colOff>
      <xdr:row>20</xdr:row>
      <xdr:rowOff>276225</xdr:rowOff>
    </xdr:from>
    <xdr:to>
      <xdr:col>11</xdr:col>
      <xdr:colOff>2809875</xdr:colOff>
      <xdr:row>21</xdr:row>
      <xdr:rowOff>742950</xdr:rowOff>
    </xdr:to>
    <xdr:pic>
      <xdr:nvPicPr>
        <xdr:cNvPr id="11" name="Picture 30" descr="Планка финиш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3681650" y="18326100"/>
          <a:ext cx="1847850" cy="1847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1047750</xdr:colOff>
      <xdr:row>22</xdr:row>
      <xdr:rowOff>438150</xdr:rowOff>
    </xdr:from>
    <xdr:to>
      <xdr:col>11</xdr:col>
      <xdr:colOff>2714625</xdr:colOff>
      <xdr:row>23</xdr:row>
      <xdr:rowOff>285750</xdr:rowOff>
    </xdr:to>
    <xdr:pic>
      <xdr:nvPicPr>
        <xdr:cNvPr id="12" name="Picture 31" descr="Стартовая планка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3767375" y="21012150"/>
          <a:ext cx="1666875" cy="1704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190500</xdr:colOff>
      <xdr:row>14</xdr:row>
      <xdr:rowOff>2247900</xdr:rowOff>
    </xdr:from>
    <xdr:to>
      <xdr:col>1</xdr:col>
      <xdr:colOff>2381250</xdr:colOff>
      <xdr:row>17</xdr:row>
      <xdr:rowOff>619125</xdr:rowOff>
    </xdr:to>
    <xdr:pic>
      <xdr:nvPicPr>
        <xdr:cNvPr id="13" name="Picture 33" descr="Белый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429625" y="10868025"/>
          <a:ext cx="2190750" cy="3086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285750</xdr:colOff>
      <xdr:row>20</xdr:row>
      <xdr:rowOff>790575</xdr:rowOff>
    </xdr:from>
    <xdr:to>
      <xdr:col>1</xdr:col>
      <xdr:colOff>2162175</xdr:colOff>
      <xdr:row>22</xdr:row>
      <xdr:rowOff>962025</xdr:rowOff>
    </xdr:to>
    <xdr:pic>
      <xdr:nvPicPr>
        <xdr:cNvPr id="14" name="Picture 34" descr="Белый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524875" y="18173700"/>
          <a:ext cx="1876425" cy="2600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26</xdr:row>
      <xdr:rowOff>904875</xdr:rowOff>
    </xdr:from>
    <xdr:to>
      <xdr:col>1</xdr:col>
      <xdr:colOff>2276475</xdr:colOff>
      <xdr:row>27</xdr:row>
      <xdr:rowOff>523875</xdr:rowOff>
    </xdr:to>
    <xdr:pic>
      <xdr:nvPicPr>
        <xdr:cNvPr id="15" name="Picture 35" descr="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458200" y="25384125"/>
          <a:ext cx="2057400" cy="1762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828675</xdr:colOff>
      <xdr:row>33</xdr:row>
      <xdr:rowOff>609600</xdr:rowOff>
    </xdr:from>
    <xdr:to>
      <xdr:col>11</xdr:col>
      <xdr:colOff>3143250</xdr:colOff>
      <xdr:row>34</xdr:row>
      <xdr:rowOff>762000</xdr:rowOff>
    </xdr:to>
    <xdr:pic>
      <xdr:nvPicPr>
        <xdr:cNvPr id="16" name="Picture 24" descr="молдинг мал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3548300" y="34613850"/>
          <a:ext cx="2314575" cy="1485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571500</xdr:colOff>
      <xdr:row>36</xdr:row>
      <xdr:rowOff>95250</xdr:rowOff>
    </xdr:from>
    <xdr:to>
      <xdr:col>1</xdr:col>
      <xdr:colOff>1809750</xdr:colOff>
      <xdr:row>36</xdr:row>
      <xdr:rowOff>1085850</xdr:rowOff>
    </xdr:to>
    <xdr:pic>
      <xdr:nvPicPr>
        <xdr:cNvPr id="17" name="Рисунок 28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820150" y="28346400"/>
          <a:ext cx="123825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600075</xdr:colOff>
      <xdr:row>37</xdr:row>
      <xdr:rowOff>95250</xdr:rowOff>
    </xdr:from>
    <xdr:to>
      <xdr:col>1</xdr:col>
      <xdr:colOff>1762125</xdr:colOff>
      <xdr:row>37</xdr:row>
      <xdr:rowOff>1095375</xdr:rowOff>
    </xdr:to>
    <xdr:pic>
      <xdr:nvPicPr>
        <xdr:cNvPr id="18" name="Рисунок 29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848725" y="29660850"/>
          <a:ext cx="1162050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266700</xdr:colOff>
      <xdr:row>30</xdr:row>
      <xdr:rowOff>142875</xdr:rowOff>
    </xdr:from>
    <xdr:to>
      <xdr:col>1</xdr:col>
      <xdr:colOff>2143125</xdr:colOff>
      <xdr:row>31</xdr:row>
      <xdr:rowOff>933450</xdr:rowOff>
    </xdr:to>
    <xdr:pic>
      <xdr:nvPicPr>
        <xdr:cNvPr id="19" name="Рисунок 18" descr="вертикальный сайдинг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515350" y="22440900"/>
          <a:ext cx="1876425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923925</xdr:colOff>
      <xdr:row>27</xdr:row>
      <xdr:rowOff>95250</xdr:rowOff>
    </xdr:from>
    <xdr:to>
      <xdr:col>11</xdr:col>
      <xdr:colOff>2362200</xdr:colOff>
      <xdr:row>28</xdr:row>
      <xdr:rowOff>571500</xdr:rowOff>
    </xdr:to>
    <xdr:pic>
      <xdr:nvPicPr>
        <xdr:cNvPr id="20" name="Рисунок 19" descr="окантовочная.jpe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4643675" y="26812875"/>
          <a:ext cx="1438275" cy="1190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333375</xdr:colOff>
      <xdr:row>38</xdr:row>
      <xdr:rowOff>714375</xdr:rowOff>
    </xdr:from>
    <xdr:to>
      <xdr:col>1</xdr:col>
      <xdr:colOff>2066925</xdr:colOff>
      <xdr:row>39</xdr:row>
      <xdr:rowOff>904875</xdr:rowOff>
    </xdr:to>
    <xdr:pic>
      <xdr:nvPicPr>
        <xdr:cNvPr id="21" name="Рисунок 20" descr="r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8191500" y="45339000"/>
          <a:ext cx="17335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552449</xdr:colOff>
      <xdr:row>18</xdr:row>
      <xdr:rowOff>627033</xdr:rowOff>
    </xdr:from>
    <xdr:to>
      <xdr:col>11</xdr:col>
      <xdr:colOff>3095624</xdr:colOff>
      <xdr:row>18</xdr:row>
      <xdr:rowOff>2114550</xdr:rowOff>
    </xdr:to>
    <xdr:pic>
      <xdr:nvPicPr>
        <xdr:cNvPr id="22" name="Рисунок 21" descr="sliv_pl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3129199" y="44108658"/>
          <a:ext cx="2543175" cy="1487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523875</xdr:colOff>
      <xdr:row>36</xdr:row>
      <xdr:rowOff>723900</xdr:rowOff>
    </xdr:from>
    <xdr:to>
      <xdr:col>11</xdr:col>
      <xdr:colOff>2695575</xdr:colOff>
      <xdr:row>37</xdr:row>
      <xdr:rowOff>590550</xdr:rowOff>
    </xdr:to>
    <xdr:pic>
      <xdr:nvPicPr>
        <xdr:cNvPr id="2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3243500" y="16106775"/>
          <a:ext cx="217170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752475</xdr:colOff>
      <xdr:row>40</xdr:row>
      <xdr:rowOff>228599</xdr:rowOff>
    </xdr:from>
    <xdr:to>
      <xdr:col>11</xdr:col>
      <xdr:colOff>3425269</xdr:colOff>
      <xdr:row>40</xdr:row>
      <xdr:rowOff>1666874</xdr:rowOff>
    </xdr:to>
    <xdr:pic>
      <xdr:nvPicPr>
        <xdr:cNvPr id="2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3472100" y="41662349"/>
          <a:ext cx="2672794" cy="1438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533400</xdr:colOff>
      <xdr:row>38</xdr:row>
      <xdr:rowOff>209550</xdr:rowOff>
    </xdr:from>
    <xdr:to>
      <xdr:col>11</xdr:col>
      <xdr:colOff>3463636</xdr:colOff>
      <xdr:row>39</xdr:row>
      <xdr:rowOff>857250</xdr:rowOff>
    </xdr:to>
    <xdr:pic>
      <xdr:nvPicPr>
        <xdr:cNvPr id="25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3253025" y="39357300"/>
          <a:ext cx="2930236" cy="1790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</xdr:colOff>
      <xdr:row>0</xdr:row>
      <xdr:rowOff>1</xdr:rowOff>
    </xdr:from>
    <xdr:to>
      <xdr:col>5</xdr:col>
      <xdr:colOff>523876</xdr:colOff>
      <xdr:row>10</xdr:row>
      <xdr:rowOff>127263</xdr:rowOff>
    </xdr:to>
    <xdr:pic>
      <xdr:nvPicPr>
        <xdr:cNvPr id="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" y="1"/>
          <a:ext cx="19145250" cy="41753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1362076</xdr:colOff>
      <xdr:row>43</xdr:row>
      <xdr:rowOff>1381125</xdr:rowOff>
    </xdr:from>
    <xdr:to>
      <xdr:col>10</xdr:col>
      <xdr:colOff>6710094</xdr:colOff>
      <xdr:row>44</xdr:row>
      <xdr:rowOff>619124</xdr:rowOff>
    </xdr:to>
    <xdr:pic>
      <xdr:nvPicPr>
        <xdr:cNvPr id="27" name="Picture 181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36509326" y="48672750"/>
          <a:ext cx="5348018" cy="13811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17</xdr:row>
      <xdr:rowOff>133350</xdr:rowOff>
    </xdr:from>
    <xdr:to>
      <xdr:col>0</xdr:col>
      <xdr:colOff>1714500</xdr:colOff>
      <xdr:row>22</xdr:row>
      <xdr:rowOff>85725</xdr:rowOff>
    </xdr:to>
    <xdr:pic>
      <xdr:nvPicPr>
        <xdr:cNvPr id="2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5248275"/>
          <a:ext cx="1504950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209550</xdr:colOff>
      <xdr:row>23</xdr:row>
      <xdr:rowOff>123825</xdr:rowOff>
    </xdr:from>
    <xdr:to>
      <xdr:col>0</xdr:col>
      <xdr:colOff>1657350</xdr:colOff>
      <xdr:row>28</xdr:row>
      <xdr:rowOff>47625</xdr:rowOff>
    </xdr:to>
    <xdr:pic>
      <xdr:nvPicPr>
        <xdr:cNvPr id="3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09550" y="7010400"/>
          <a:ext cx="144780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466725</xdr:colOff>
      <xdr:row>29</xdr:row>
      <xdr:rowOff>165099</xdr:rowOff>
    </xdr:from>
    <xdr:to>
      <xdr:col>0</xdr:col>
      <xdr:colOff>1181100</xdr:colOff>
      <xdr:row>31</xdr:row>
      <xdr:rowOff>142874</xdr:rowOff>
    </xdr:to>
    <xdr:pic>
      <xdr:nvPicPr>
        <xdr:cNvPr id="4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66725" y="8823324"/>
          <a:ext cx="714375" cy="568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180975</xdr:colOff>
      <xdr:row>32</xdr:row>
      <xdr:rowOff>180975</xdr:rowOff>
    </xdr:from>
    <xdr:to>
      <xdr:col>0</xdr:col>
      <xdr:colOff>952500</xdr:colOff>
      <xdr:row>34</xdr:row>
      <xdr:rowOff>257175</xdr:rowOff>
    </xdr:to>
    <xdr:pic>
      <xdr:nvPicPr>
        <xdr:cNvPr id="5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80975" y="9725025"/>
          <a:ext cx="77152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809625</xdr:colOff>
      <xdr:row>35</xdr:row>
      <xdr:rowOff>95249</xdr:rowOff>
    </xdr:from>
    <xdr:to>
      <xdr:col>0</xdr:col>
      <xdr:colOff>1700645</xdr:colOff>
      <xdr:row>37</xdr:row>
      <xdr:rowOff>85724</xdr:rowOff>
    </xdr:to>
    <xdr:pic>
      <xdr:nvPicPr>
        <xdr:cNvPr id="6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809625" y="10525124"/>
          <a:ext cx="891020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171450</xdr:colOff>
      <xdr:row>39</xdr:row>
      <xdr:rowOff>114300</xdr:rowOff>
    </xdr:from>
    <xdr:to>
      <xdr:col>0</xdr:col>
      <xdr:colOff>860642</xdr:colOff>
      <xdr:row>48</xdr:row>
      <xdr:rowOff>19050</xdr:rowOff>
    </xdr:to>
    <xdr:pic>
      <xdr:nvPicPr>
        <xdr:cNvPr id="7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71450" y="11725275"/>
          <a:ext cx="689192" cy="2562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1057275</xdr:colOff>
      <xdr:row>39</xdr:row>
      <xdr:rowOff>95250</xdr:rowOff>
    </xdr:from>
    <xdr:to>
      <xdr:col>0</xdr:col>
      <xdr:colOff>1738885</xdr:colOff>
      <xdr:row>47</xdr:row>
      <xdr:rowOff>266700</xdr:rowOff>
    </xdr:to>
    <xdr:pic>
      <xdr:nvPicPr>
        <xdr:cNvPr id="8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057275" y="11706225"/>
          <a:ext cx="681610" cy="2533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49</xdr:row>
      <xdr:rowOff>133350</xdr:rowOff>
    </xdr:from>
    <xdr:to>
      <xdr:col>0</xdr:col>
      <xdr:colOff>895350</xdr:colOff>
      <xdr:row>58</xdr:row>
      <xdr:rowOff>142875</xdr:rowOff>
    </xdr:to>
    <xdr:pic>
      <xdr:nvPicPr>
        <xdr:cNvPr id="9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33350" y="14697075"/>
          <a:ext cx="762000" cy="266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1038225</xdr:colOff>
      <xdr:row>49</xdr:row>
      <xdr:rowOff>133350</xdr:rowOff>
    </xdr:from>
    <xdr:to>
      <xdr:col>0</xdr:col>
      <xdr:colOff>1800225</xdr:colOff>
      <xdr:row>58</xdr:row>
      <xdr:rowOff>133350</xdr:rowOff>
    </xdr:to>
    <xdr:pic>
      <xdr:nvPicPr>
        <xdr:cNvPr id="10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038225" y="14697075"/>
          <a:ext cx="762000" cy="2657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161925</xdr:colOff>
      <xdr:row>60</xdr:row>
      <xdr:rowOff>104775</xdr:rowOff>
    </xdr:from>
    <xdr:to>
      <xdr:col>0</xdr:col>
      <xdr:colOff>1781175</xdr:colOff>
      <xdr:row>61</xdr:row>
      <xdr:rowOff>285750</xdr:rowOff>
    </xdr:to>
    <xdr:pic>
      <xdr:nvPicPr>
        <xdr:cNvPr id="11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61925" y="17916525"/>
          <a:ext cx="161925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161925</xdr:colOff>
      <xdr:row>62</xdr:row>
      <xdr:rowOff>5981</xdr:rowOff>
    </xdr:from>
    <xdr:to>
      <xdr:col>0</xdr:col>
      <xdr:colOff>1581150</xdr:colOff>
      <xdr:row>63</xdr:row>
      <xdr:rowOff>257175</xdr:rowOff>
    </xdr:to>
    <xdr:pic>
      <xdr:nvPicPr>
        <xdr:cNvPr id="12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61925" y="18427331"/>
          <a:ext cx="1419225" cy="584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171450</xdr:colOff>
      <xdr:row>64</xdr:row>
      <xdr:rowOff>71437</xdr:rowOff>
    </xdr:from>
    <xdr:to>
      <xdr:col>0</xdr:col>
      <xdr:colOff>1714500</xdr:colOff>
      <xdr:row>65</xdr:row>
      <xdr:rowOff>323850</xdr:rowOff>
    </xdr:to>
    <xdr:pic>
      <xdr:nvPicPr>
        <xdr:cNvPr id="13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71450" y="19150012"/>
          <a:ext cx="1543050" cy="719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152400</xdr:colOff>
      <xdr:row>66</xdr:row>
      <xdr:rowOff>76200</xdr:rowOff>
    </xdr:from>
    <xdr:to>
      <xdr:col>0</xdr:col>
      <xdr:colOff>571500</xdr:colOff>
      <xdr:row>66</xdr:row>
      <xdr:rowOff>1295400</xdr:rowOff>
    </xdr:to>
    <xdr:pic>
      <xdr:nvPicPr>
        <xdr:cNvPr id="14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52400" y="20050125"/>
          <a:ext cx="4191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66</xdr:row>
      <xdr:rowOff>38100</xdr:rowOff>
    </xdr:from>
    <xdr:to>
      <xdr:col>0</xdr:col>
      <xdr:colOff>1437640</xdr:colOff>
      <xdr:row>66</xdr:row>
      <xdr:rowOff>1238250</xdr:rowOff>
    </xdr:to>
    <xdr:pic>
      <xdr:nvPicPr>
        <xdr:cNvPr id="15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95300" y="20021550"/>
          <a:ext cx="94234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523875</xdr:colOff>
      <xdr:row>67</xdr:row>
      <xdr:rowOff>57150</xdr:rowOff>
    </xdr:from>
    <xdr:to>
      <xdr:col>0</xdr:col>
      <xdr:colOff>1066800</xdr:colOff>
      <xdr:row>67</xdr:row>
      <xdr:rowOff>1247775</xdr:rowOff>
    </xdr:to>
    <xdr:pic>
      <xdr:nvPicPr>
        <xdr:cNvPr id="16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523875" y="21355050"/>
          <a:ext cx="542925" cy="1190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695325</xdr:colOff>
      <xdr:row>69</xdr:row>
      <xdr:rowOff>133349</xdr:rowOff>
    </xdr:from>
    <xdr:to>
      <xdr:col>0</xdr:col>
      <xdr:colOff>1181398</xdr:colOff>
      <xdr:row>71</xdr:row>
      <xdr:rowOff>142874</xdr:rowOff>
    </xdr:to>
    <xdr:pic>
      <xdr:nvPicPr>
        <xdr:cNvPr id="17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95325" y="23193374"/>
          <a:ext cx="486073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657225</xdr:colOff>
      <xdr:row>72</xdr:row>
      <xdr:rowOff>57150</xdr:rowOff>
    </xdr:from>
    <xdr:to>
      <xdr:col>0</xdr:col>
      <xdr:colOff>1231594</xdr:colOff>
      <xdr:row>74</xdr:row>
      <xdr:rowOff>180975</xdr:rowOff>
    </xdr:to>
    <xdr:pic>
      <xdr:nvPicPr>
        <xdr:cNvPr id="18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57225" y="24098250"/>
          <a:ext cx="574369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733425</xdr:colOff>
      <xdr:row>75</xdr:row>
      <xdr:rowOff>95250</xdr:rowOff>
    </xdr:from>
    <xdr:to>
      <xdr:col>0</xdr:col>
      <xdr:colOff>1123718</xdr:colOff>
      <xdr:row>77</xdr:row>
      <xdr:rowOff>190500</xdr:rowOff>
    </xdr:to>
    <xdr:pic>
      <xdr:nvPicPr>
        <xdr:cNvPr id="1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733425" y="25003125"/>
          <a:ext cx="390293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666750</xdr:colOff>
      <xdr:row>78</xdr:row>
      <xdr:rowOff>125412</xdr:rowOff>
    </xdr:from>
    <xdr:to>
      <xdr:col>0</xdr:col>
      <xdr:colOff>1143000</xdr:colOff>
      <xdr:row>80</xdr:row>
      <xdr:rowOff>152400</xdr:rowOff>
    </xdr:to>
    <xdr:pic>
      <xdr:nvPicPr>
        <xdr:cNvPr id="20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66750" y="25861962"/>
          <a:ext cx="476250" cy="569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600075</xdr:colOff>
      <xdr:row>81</xdr:row>
      <xdr:rowOff>76200</xdr:rowOff>
    </xdr:from>
    <xdr:to>
      <xdr:col>0</xdr:col>
      <xdr:colOff>1160558</xdr:colOff>
      <xdr:row>83</xdr:row>
      <xdr:rowOff>209550</xdr:rowOff>
    </xdr:to>
    <xdr:pic>
      <xdr:nvPicPr>
        <xdr:cNvPr id="21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00075" y="26517600"/>
          <a:ext cx="560483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12</xdr:row>
      <xdr:rowOff>54740</xdr:rowOff>
    </xdr:from>
    <xdr:to>
      <xdr:col>0</xdr:col>
      <xdr:colOff>1371600</xdr:colOff>
      <xdr:row>13</xdr:row>
      <xdr:rowOff>419101</xdr:rowOff>
    </xdr:to>
    <xdr:pic>
      <xdr:nvPicPr>
        <xdr:cNvPr id="22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5300" y="2978915"/>
          <a:ext cx="876300" cy="8501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5200650</xdr:colOff>
      <xdr:row>9</xdr:row>
      <xdr:rowOff>81487</xdr:rowOff>
    </xdr:to>
    <xdr:pic>
      <xdr:nvPicPr>
        <xdr:cNvPr id="2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0"/>
          <a:ext cx="7105650" cy="1548337"/>
        </a:xfrm>
        <a:prstGeom prst="rect">
          <a:avLst/>
        </a:prstGeom>
        <a:noFill/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850900</xdr:colOff>
      <xdr:row>15</xdr:row>
      <xdr:rowOff>66675</xdr:rowOff>
    </xdr:from>
    <xdr:to>
      <xdr:col>0</xdr:col>
      <xdr:colOff>2193925</xdr:colOff>
      <xdr:row>15</xdr:row>
      <xdr:rowOff>1104900</xdr:rowOff>
    </xdr:to>
    <xdr:pic>
      <xdr:nvPicPr>
        <xdr:cNvPr id="2" name="Рисунок 16" descr="\\Server\общая\Сухова\Каталоги Holzplast\Каталог RohrFit\Devorex elements\Devorex_Classic_120_elements_WHITE\_gutter 120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50900" y="4892675"/>
          <a:ext cx="1343025" cy="103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854075</xdr:colOff>
      <xdr:row>17</xdr:row>
      <xdr:rowOff>82551</xdr:rowOff>
    </xdr:from>
    <xdr:to>
      <xdr:col>0</xdr:col>
      <xdr:colOff>1905000</xdr:colOff>
      <xdr:row>17</xdr:row>
      <xdr:rowOff>1125001</xdr:rowOff>
    </xdr:to>
    <xdr:pic>
      <xdr:nvPicPr>
        <xdr:cNvPr id="3" name="Рисунок 17" descr="\\Server\общая\Сухова\Каталоги Holzplast\Каталог RohrFit\Devorex elements\Devorex_Classic_120_elements_WHITE\_gutter union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54075" y="7258051"/>
          <a:ext cx="1050925" cy="104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692151</xdr:colOff>
      <xdr:row>19</xdr:row>
      <xdr:rowOff>76201</xdr:rowOff>
    </xdr:from>
    <xdr:to>
      <xdr:col>0</xdr:col>
      <xdr:colOff>1907375</xdr:colOff>
      <xdr:row>19</xdr:row>
      <xdr:rowOff>1143001</xdr:rowOff>
    </xdr:to>
    <xdr:pic>
      <xdr:nvPicPr>
        <xdr:cNvPr id="4" name="Рисунок 18" descr="\\Server\общая\Сухова\Каталоги Holzplast\Каталог RohrFit\Devorex elements\Devorex_Classic_120_elements_WHITE\_gutter angle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92151" y="9855201"/>
          <a:ext cx="1215224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730250</xdr:colOff>
      <xdr:row>21</xdr:row>
      <xdr:rowOff>79375</xdr:rowOff>
    </xdr:from>
    <xdr:to>
      <xdr:col>0</xdr:col>
      <xdr:colOff>2130425</xdr:colOff>
      <xdr:row>21</xdr:row>
      <xdr:rowOff>1127125</xdr:rowOff>
    </xdr:to>
    <xdr:pic>
      <xdr:nvPicPr>
        <xdr:cNvPr id="5" name="Рисунок 19" descr="\\Server\общая\Сухова\Каталоги Holzplast\Каталог RohrFit\Devorex elements\Devorex_Classic_120_elements_WHITE\_gutter angle 60-160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30250" y="12334875"/>
          <a:ext cx="1400175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711201</xdr:colOff>
      <xdr:row>23</xdr:row>
      <xdr:rowOff>85726</xdr:rowOff>
    </xdr:from>
    <xdr:to>
      <xdr:col>0</xdr:col>
      <xdr:colOff>1936750</xdr:colOff>
      <xdr:row>23</xdr:row>
      <xdr:rowOff>1102608</xdr:rowOff>
    </xdr:to>
    <xdr:pic>
      <xdr:nvPicPr>
        <xdr:cNvPr id="6" name="Рисунок 20" descr="\\Server\общая\Сухова\Каталоги Holzplast\Каталог RohrFit\Devorex elements\Devorex_Classic_120_elements_WHITE\_running outlet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11201" y="14817726"/>
          <a:ext cx="1225549" cy="10168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822325</xdr:colOff>
      <xdr:row>25</xdr:row>
      <xdr:rowOff>98425</xdr:rowOff>
    </xdr:from>
    <xdr:to>
      <xdr:col>0</xdr:col>
      <xdr:colOff>2003425</xdr:colOff>
      <xdr:row>25</xdr:row>
      <xdr:rowOff>1127125</xdr:rowOff>
    </xdr:to>
    <xdr:pic>
      <xdr:nvPicPr>
        <xdr:cNvPr id="7" name="Рисунок 21" descr="\\Server\общая\Сухова\Каталоги Holzplast\Каталог RohrFit\Devorex elements\Devorex_Classic_120_elements_WHITE\_gutter stopend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822325" y="17243425"/>
          <a:ext cx="118110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768350</xdr:colOff>
      <xdr:row>27</xdr:row>
      <xdr:rowOff>92075</xdr:rowOff>
    </xdr:from>
    <xdr:to>
      <xdr:col>0</xdr:col>
      <xdr:colOff>1939925</xdr:colOff>
      <xdr:row>27</xdr:row>
      <xdr:rowOff>1120775</xdr:rowOff>
    </xdr:to>
    <xdr:pic>
      <xdr:nvPicPr>
        <xdr:cNvPr id="8" name="Рисунок 22" descr="\\Server\общая\Сухова\Каталоги Holzplast\Каталог RohrFit\Devorex elements\Devorex_Classic_120_elements_WHITE\_gutter brack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768350" y="19872325"/>
          <a:ext cx="1171575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895350</xdr:colOff>
      <xdr:row>32</xdr:row>
      <xdr:rowOff>111125</xdr:rowOff>
    </xdr:from>
    <xdr:to>
      <xdr:col>0</xdr:col>
      <xdr:colOff>1971675</xdr:colOff>
      <xdr:row>32</xdr:row>
      <xdr:rowOff>1044575</xdr:rowOff>
    </xdr:to>
    <xdr:pic>
      <xdr:nvPicPr>
        <xdr:cNvPr id="9" name="Рисунок 23" descr="\\Server\общая\Сухова\Каталоги Holzplast\Каталог RohrFit\Devorex elements\Devorex_Classic_120_elements_WHITE\_pipe 80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95350" y="23479125"/>
          <a:ext cx="1076325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914401</xdr:colOff>
      <xdr:row>35</xdr:row>
      <xdr:rowOff>92076</xdr:rowOff>
    </xdr:from>
    <xdr:to>
      <xdr:col>0</xdr:col>
      <xdr:colOff>1905001</xdr:colOff>
      <xdr:row>35</xdr:row>
      <xdr:rowOff>1136222</xdr:rowOff>
    </xdr:to>
    <xdr:pic>
      <xdr:nvPicPr>
        <xdr:cNvPr id="10" name="Рисунок 25" descr="\\Server\общая\Сухова\Каталоги Holzplast\Каталог RohrFit\Devorex elements\Devorex_Classic_120_elements_WHITE\_bend 67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914401" y="29873576"/>
          <a:ext cx="990600" cy="10441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898525</xdr:colOff>
      <xdr:row>36</xdr:row>
      <xdr:rowOff>111125</xdr:rowOff>
    </xdr:from>
    <xdr:to>
      <xdr:col>0</xdr:col>
      <xdr:colOff>1841500</xdr:colOff>
      <xdr:row>36</xdr:row>
      <xdr:rowOff>1134164</xdr:rowOff>
    </xdr:to>
    <xdr:pic>
      <xdr:nvPicPr>
        <xdr:cNvPr id="11" name="Рисунок 26" descr="\\Server\общая\Сухова\Каталоги Holzplast\Каталог RohrFit\Devorex elements\Devorex_Classic_120_elements_WHITE\_bend 87.jpg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898525" y="31130875"/>
          <a:ext cx="942975" cy="10230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822325</xdr:colOff>
      <xdr:row>40</xdr:row>
      <xdr:rowOff>76201</xdr:rowOff>
    </xdr:from>
    <xdr:to>
      <xdr:col>0</xdr:col>
      <xdr:colOff>2018078</xdr:colOff>
      <xdr:row>40</xdr:row>
      <xdr:rowOff>1047750</xdr:rowOff>
    </xdr:to>
    <xdr:pic>
      <xdr:nvPicPr>
        <xdr:cNvPr id="12" name="Рисунок 27" descr="\\Server\общая\Сухова\Каталоги Holzplast\Каталог RohrFit\Devorex elements\Devorex_Classic_120_elements_WHITE\_pipe bracket.jpg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22325" y="36302951"/>
          <a:ext cx="1195753" cy="9715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895350</xdr:colOff>
      <xdr:row>38</xdr:row>
      <xdr:rowOff>95250</xdr:rowOff>
    </xdr:from>
    <xdr:to>
      <xdr:col>0</xdr:col>
      <xdr:colOff>1792287</xdr:colOff>
      <xdr:row>38</xdr:row>
      <xdr:rowOff>1143000</xdr:rowOff>
    </xdr:to>
    <xdr:pic>
      <xdr:nvPicPr>
        <xdr:cNvPr id="13" name="Рисунок 28" descr="\\Server\общая\Сухова\Каталоги Holzplast\Каталог RohrFit\Devorex elements\Devorex_Classic_120_elements_WHITE\_pipe connector.jpg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5350" y="33750250"/>
          <a:ext cx="896937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879475</xdr:colOff>
      <xdr:row>16</xdr:row>
      <xdr:rowOff>92075</xdr:rowOff>
    </xdr:from>
    <xdr:to>
      <xdr:col>0</xdr:col>
      <xdr:colOff>2193925</xdr:colOff>
      <xdr:row>16</xdr:row>
      <xdr:rowOff>1143000</xdr:rowOff>
    </xdr:to>
    <xdr:pic>
      <xdr:nvPicPr>
        <xdr:cNvPr id="14" name="Picture 718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79475" y="6156325"/>
          <a:ext cx="1314450" cy="10509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809625</xdr:colOff>
      <xdr:row>18</xdr:row>
      <xdr:rowOff>50800</xdr:rowOff>
    </xdr:from>
    <xdr:to>
      <xdr:col>0</xdr:col>
      <xdr:colOff>1971675</xdr:colOff>
      <xdr:row>18</xdr:row>
      <xdr:rowOff>1174750</xdr:rowOff>
    </xdr:to>
    <xdr:pic>
      <xdr:nvPicPr>
        <xdr:cNvPr id="15" name="Picture 718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09625" y="8591550"/>
          <a:ext cx="116205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650875</xdr:colOff>
      <xdr:row>20</xdr:row>
      <xdr:rowOff>66675</xdr:rowOff>
    </xdr:from>
    <xdr:to>
      <xdr:col>0</xdr:col>
      <xdr:colOff>2003467</xdr:colOff>
      <xdr:row>20</xdr:row>
      <xdr:rowOff>1206500</xdr:rowOff>
    </xdr:to>
    <xdr:pic>
      <xdr:nvPicPr>
        <xdr:cNvPr id="16" name="Picture 723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50875" y="11115675"/>
          <a:ext cx="1352592" cy="11398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723900</xdr:colOff>
      <xdr:row>22</xdr:row>
      <xdr:rowOff>73025</xdr:rowOff>
    </xdr:from>
    <xdr:to>
      <xdr:col>0</xdr:col>
      <xdr:colOff>1971675</xdr:colOff>
      <xdr:row>22</xdr:row>
      <xdr:rowOff>1139825</xdr:rowOff>
    </xdr:to>
    <xdr:pic>
      <xdr:nvPicPr>
        <xdr:cNvPr id="17" name="Picture 723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723900" y="13693775"/>
          <a:ext cx="1247775" cy="10668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711200</xdr:colOff>
      <xdr:row>24</xdr:row>
      <xdr:rowOff>88900</xdr:rowOff>
    </xdr:from>
    <xdr:to>
      <xdr:col>0</xdr:col>
      <xdr:colOff>1939925</xdr:colOff>
      <xdr:row>24</xdr:row>
      <xdr:rowOff>1146175</xdr:rowOff>
    </xdr:to>
    <xdr:pic>
      <xdr:nvPicPr>
        <xdr:cNvPr id="18" name="Picture 732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711200" y="15995650"/>
          <a:ext cx="1228725" cy="10572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860425</xdr:colOff>
      <xdr:row>26</xdr:row>
      <xdr:rowOff>73025</xdr:rowOff>
    </xdr:from>
    <xdr:to>
      <xdr:col>0</xdr:col>
      <xdr:colOff>2003425</xdr:colOff>
      <xdr:row>26</xdr:row>
      <xdr:rowOff>1206500</xdr:rowOff>
    </xdr:to>
    <xdr:pic>
      <xdr:nvPicPr>
        <xdr:cNvPr id="19" name="Picture 737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860425" y="18488025"/>
          <a:ext cx="1143000" cy="11334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815975</xdr:colOff>
      <xdr:row>28</xdr:row>
      <xdr:rowOff>101600</xdr:rowOff>
    </xdr:from>
    <xdr:to>
      <xdr:col>0</xdr:col>
      <xdr:colOff>1939925</xdr:colOff>
      <xdr:row>28</xdr:row>
      <xdr:rowOff>987425</xdr:rowOff>
    </xdr:to>
    <xdr:pic>
      <xdr:nvPicPr>
        <xdr:cNvPr id="20" name="Picture 743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815975" y="21088350"/>
          <a:ext cx="1123950" cy="8858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806450</xdr:colOff>
      <xdr:row>33</xdr:row>
      <xdr:rowOff>152400</xdr:rowOff>
    </xdr:from>
    <xdr:to>
      <xdr:col>0</xdr:col>
      <xdr:colOff>2035175</xdr:colOff>
      <xdr:row>33</xdr:row>
      <xdr:rowOff>1190625</xdr:rowOff>
    </xdr:to>
    <xdr:pic>
      <xdr:nvPicPr>
        <xdr:cNvPr id="21" name="Picture 7432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806450" y="27330400"/>
          <a:ext cx="1228725" cy="10382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933450</xdr:colOff>
      <xdr:row>34</xdr:row>
      <xdr:rowOff>104775</xdr:rowOff>
    </xdr:from>
    <xdr:to>
      <xdr:col>0</xdr:col>
      <xdr:colOff>1905000</xdr:colOff>
      <xdr:row>34</xdr:row>
      <xdr:rowOff>1181100</xdr:rowOff>
    </xdr:to>
    <xdr:pic>
      <xdr:nvPicPr>
        <xdr:cNvPr id="22" name="Picture 7544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933450" y="28616275"/>
          <a:ext cx="971550" cy="10763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936625</xdr:colOff>
      <xdr:row>37</xdr:row>
      <xdr:rowOff>120837</xdr:rowOff>
    </xdr:from>
    <xdr:to>
      <xdr:col>0</xdr:col>
      <xdr:colOff>1778000</xdr:colOff>
      <xdr:row>37</xdr:row>
      <xdr:rowOff>1209675</xdr:rowOff>
    </xdr:to>
    <xdr:pic>
      <xdr:nvPicPr>
        <xdr:cNvPr id="23" name="Picture 760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936625" y="29838837"/>
          <a:ext cx="841375" cy="1088838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904875</xdr:colOff>
      <xdr:row>39</xdr:row>
      <xdr:rowOff>127000</xdr:rowOff>
    </xdr:from>
    <xdr:to>
      <xdr:col>0</xdr:col>
      <xdr:colOff>1682750</xdr:colOff>
      <xdr:row>39</xdr:row>
      <xdr:rowOff>1164166</xdr:rowOff>
    </xdr:to>
    <xdr:pic>
      <xdr:nvPicPr>
        <xdr:cNvPr id="24" name="Picture 7665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904875" y="32480250"/>
          <a:ext cx="777875" cy="1037166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815975</xdr:colOff>
      <xdr:row>41</xdr:row>
      <xdr:rowOff>63500</xdr:rowOff>
    </xdr:from>
    <xdr:to>
      <xdr:col>0</xdr:col>
      <xdr:colOff>2000250</xdr:colOff>
      <xdr:row>41</xdr:row>
      <xdr:rowOff>1048853</xdr:rowOff>
    </xdr:to>
    <xdr:pic>
      <xdr:nvPicPr>
        <xdr:cNvPr id="25" name="Picture 7668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815975" y="35496500"/>
          <a:ext cx="1184275" cy="985353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193675</xdr:colOff>
      <xdr:row>29</xdr:row>
      <xdr:rowOff>282575</xdr:rowOff>
    </xdr:from>
    <xdr:to>
      <xdr:col>0</xdr:col>
      <xdr:colOff>2898775</xdr:colOff>
      <xdr:row>29</xdr:row>
      <xdr:rowOff>1016000</xdr:rowOff>
    </xdr:to>
    <xdr:pic>
      <xdr:nvPicPr>
        <xdr:cNvPr id="27" name="Рисунок 29" descr="vodostok-deke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93675" y="22348825"/>
          <a:ext cx="27051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605894</xdr:colOff>
      <xdr:row>11</xdr:row>
      <xdr:rowOff>95250</xdr:rowOff>
    </xdr:to>
    <xdr:pic>
      <xdr:nvPicPr>
        <xdr:cNvPr id="2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0"/>
          <a:ext cx="12385144" cy="2698750"/>
        </a:xfrm>
        <a:prstGeom prst="rect">
          <a:avLst/>
        </a:prstGeom>
        <a:noFill/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747032</xdr:colOff>
      <xdr:row>19</xdr:row>
      <xdr:rowOff>188232</xdr:rowOff>
    </xdr:from>
    <xdr:to>
      <xdr:col>0</xdr:col>
      <xdr:colOff>2389886</xdr:colOff>
      <xdr:row>23</xdr:row>
      <xdr:rowOff>229053</xdr:rowOff>
    </xdr:to>
    <xdr:pic>
      <xdr:nvPicPr>
        <xdr:cNvPr id="2" name="Picture 15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47032" y="3537857"/>
          <a:ext cx="1642854" cy="118382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1600200</xdr:colOff>
      <xdr:row>18</xdr:row>
      <xdr:rowOff>47625</xdr:rowOff>
    </xdr:from>
    <xdr:to>
      <xdr:col>1</xdr:col>
      <xdr:colOff>2324100</xdr:colOff>
      <xdr:row>18</xdr:row>
      <xdr:rowOff>238125</xdr:rowOff>
    </xdr:to>
    <xdr:pic>
      <xdr:nvPicPr>
        <xdr:cNvPr id="3" name="Picture 2" descr="Скол белый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695825" y="3105150"/>
          <a:ext cx="7239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1600200</xdr:colOff>
      <xdr:row>19</xdr:row>
      <xdr:rowOff>47625</xdr:rowOff>
    </xdr:from>
    <xdr:to>
      <xdr:col>1</xdr:col>
      <xdr:colOff>2324100</xdr:colOff>
      <xdr:row>19</xdr:row>
      <xdr:rowOff>238125</xdr:rowOff>
    </xdr:to>
    <xdr:pic>
      <xdr:nvPicPr>
        <xdr:cNvPr id="4" name="Picture 3" descr="Скол светло-бежевый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695825" y="3390900"/>
          <a:ext cx="7239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1600200</xdr:colOff>
      <xdr:row>20</xdr:row>
      <xdr:rowOff>47625</xdr:rowOff>
    </xdr:from>
    <xdr:to>
      <xdr:col>1</xdr:col>
      <xdr:colOff>2324100</xdr:colOff>
      <xdr:row>20</xdr:row>
      <xdr:rowOff>238125</xdr:rowOff>
    </xdr:to>
    <xdr:pic>
      <xdr:nvPicPr>
        <xdr:cNvPr id="5" name="Picture 4" descr="Скол бежевый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695825" y="3676650"/>
          <a:ext cx="7239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1600200</xdr:colOff>
      <xdr:row>21</xdr:row>
      <xdr:rowOff>47625</xdr:rowOff>
    </xdr:from>
    <xdr:to>
      <xdr:col>1</xdr:col>
      <xdr:colOff>2324100</xdr:colOff>
      <xdr:row>21</xdr:row>
      <xdr:rowOff>238125</xdr:rowOff>
    </xdr:to>
    <xdr:pic>
      <xdr:nvPicPr>
        <xdr:cNvPr id="6" name="Picture 5" descr="Скол светло-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695825" y="3962400"/>
          <a:ext cx="7239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1600200</xdr:colOff>
      <xdr:row>22</xdr:row>
      <xdr:rowOff>47625</xdr:rowOff>
    </xdr:from>
    <xdr:to>
      <xdr:col>1</xdr:col>
      <xdr:colOff>2324100</xdr:colOff>
      <xdr:row>22</xdr:row>
      <xdr:rowOff>238125</xdr:rowOff>
    </xdr:to>
    <xdr:pic>
      <xdr:nvPicPr>
        <xdr:cNvPr id="7" name="Picture 6" descr="Скол 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695825" y="4248150"/>
          <a:ext cx="7239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1600200</xdr:colOff>
      <xdr:row>23</xdr:row>
      <xdr:rowOff>47625</xdr:rowOff>
    </xdr:from>
    <xdr:to>
      <xdr:col>1</xdr:col>
      <xdr:colOff>2324100</xdr:colOff>
      <xdr:row>23</xdr:row>
      <xdr:rowOff>238125</xdr:rowOff>
    </xdr:to>
    <xdr:pic>
      <xdr:nvPicPr>
        <xdr:cNvPr id="8" name="Picture 7" descr="Скол темно-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695825" y="4533900"/>
          <a:ext cx="7239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625930</xdr:colOff>
      <xdr:row>25</xdr:row>
      <xdr:rowOff>202821</xdr:rowOff>
    </xdr:from>
    <xdr:to>
      <xdr:col>0</xdr:col>
      <xdr:colOff>2272393</xdr:colOff>
      <xdr:row>29</xdr:row>
      <xdr:rowOff>90712</xdr:rowOff>
    </xdr:to>
    <xdr:pic>
      <xdr:nvPicPr>
        <xdr:cNvPr id="9" name="Picture 151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25930" y="5260596"/>
          <a:ext cx="1646463" cy="1205516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1609725</xdr:colOff>
      <xdr:row>24</xdr:row>
      <xdr:rowOff>47625</xdr:rowOff>
    </xdr:from>
    <xdr:to>
      <xdr:col>1</xdr:col>
      <xdr:colOff>2324100</xdr:colOff>
      <xdr:row>24</xdr:row>
      <xdr:rowOff>257175</xdr:rowOff>
    </xdr:to>
    <xdr:pic>
      <xdr:nvPicPr>
        <xdr:cNvPr id="10" name="Picture 9" descr="Туф белый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705350" y="4819650"/>
          <a:ext cx="714375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1609725</xdr:colOff>
      <xdr:row>25</xdr:row>
      <xdr:rowOff>47625</xdr:rowOff>
    </xdr:from>
    <xdr:to>
      <xdr:col>1</xdr:col>
      <xdr:colOff>2324100</xdr:colOff>
      <xdr:row>25</xdr:row>
      <xdr:rowOff>257175</xdr:rowOff>
    </xdr:to>
    <xdr:pic>
      <xdr:nvPicPr>
        <xdr:cNvPr id="11" name="Picture 10" descr="Туф светло-бежевый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705350" y="5105400"/>
          <a:ext cx="714375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1609725</xdr:colOff>
      <xdr:row>26</xdr:row>
      <xdr:rowOff>47625</xdr:rowOff>
    </xdr:from>
    <xdr:to>
      <xdr:col>1</xdr:col>
      <xdr:colOff>2324100</xdr:colOff>
      <xdr:row>26</xdr:row>
      <xdr:rowOff>257175</xdr:rowOff>
    </xdr:to>
    <xdr:pic>
      <xdr:nvPicPr>
        <xdr:cNvPr id="12" name="Picture 11" descr="Туф бежевый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705350" y="5391150"/>
          <a:ext cx="714375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1609725</xdr:colOff>
      <xdr:row>27</xdr:row>
      <xdr:rowOff>47625</xdr:rowOff>
    </xdr:from>
    <xdr:to>
      <xdr:col>1</xdr:col>
      <xdr:colOff>2324100</xdr:colOff>
      <xdr:row>27</xdr:row>
      <xdr:rowOff>257175</xdr:rowOff>
    </xdr:to>
    <xdr:pic>
      <xdr:nvPicPr>
        <xdr:cNvPr id="13" name="Picture 12" descr="Туф светло-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705350" y="5676900"/>
          <a:ext cx="714375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1609725</xdr:colOff>
      <xdr:row>28</xdr:row>
      <xdr:rowOff>47625</xdr:rowOff>
    </xdr:from>
    <xdr:to>
      <xdr:col>1</xdr:col>
      <xdr:colOff>2324100</xdr:colOff>
      <xdr:row>28</xdr:row>
      <xdr:rowOff>257175</xdr:rowOff>
    </xdr:to>
    <xdr:pic>
      <xdr:nvPicPr>
        <xdr:cNvPr id="14" name="Picture 13" descr="Туф 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705350" y="5962650"/>
          <a:ext cx="714375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1609725</xdr:colOff>
      <xdr:row>29</xdr:row>
      <xdr:rowOff>47625</xdr:rowOff>
    </xdr:from>
    <xdr:to>
      <xdr:col>1</xdr:col>
      <xdr:colOff>2324100</xdr:colOff>
      <xdr:row>29</xdr:row>
      <xdr:rowOff>257175</xdr:rowOff>
    </xdr:to>
    <xdr:pic>
      <xdr:nvPicPr>
        <xdr:cNvPr id="15" name="Picture 14" descr="Туф темно-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705350" y="6438900"/>
          <a:ext cx="714375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1059997</xdr:colOff>
      <xdr:row>31</xdr:row>
      <xdr:rowOff>87538</xdr:rowOff>
    </xdr:from>
    <xdr:to>
      <xdr:col>0</xdr:col>
      <xdr:colOff>2266950</xdr:colOff>
      <xdr:row>33</xdr:row>
      <xdr:rowOff>306437</xdr:rowOff>
    </xdr:to>
    <xdr:pic>
      <xdr:nvPicPr>
        <xdr:cNvPr id="16" name="Picture 15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059997" y="6926488"/>
          <a:ext cx="1206953" cy="904699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1536700</xdr:colOff>
      <xdr:row>30</xdr:row>
      <xdr:rowOff>76200</xdr:rowOff>
    </xdr:from>
    <xdr:to>
      <xdr:col>1</xdr:col>
      <xdr:colOff>2432050</xdr:colOff>
      <xdr:row>30</xdr:row>
      <xdr:rowOff>276225</xdr:rowOff>
    </xdr:to>
    <xdr:pic>
      <xdr:nvPicPr>
        <xdr:cNvPr id="17" name="Picture 16" descr="Кирпич белый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505325" y="8283575"/>
          <a:ext cx="89535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1504950</xdr:colOff>
      <xdr:row>31</xdr:row>
      <xdr:rowOff>76200</xdr:rowOff>
    </xdr:from>
    <xdr:to>
      <xdr:col>1</xdr:col>
      <xdr:colOff>2400300</xdr:colOff>
      <xdr:row>31</xdr:row>
      <xdr:rowOff>276225</xdr:rowOff>
    </xdr:to>
    <xdr:pic>
      <xdr:nvPicPr>
        <xdr:cNvPr id="18" name="Picture 17" descr="Кирпич терракотовый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4473575" y="8632825"/>
          <a:ext cx="89535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1504950</xdr:colOff>
      <xdr:row>32</xdr:row>
      <xdr:rowOff>76200</xdr:rowOff>
    </xdr:from>
    <xdr:to>
      <xdr:col>1</xdr:col>
      <xdr:colOff>2400300</xdr:colOff>
      <xdr:row>32</xdr:row>
      <xdr:rowOff>276225</xdr:rowOff>
    </xdr:to>
    <xdr:pic>
      <xdr:nvPicPr>
        <xdr:cNvPr id="19" name="Picture 18" descr="Кирпич песочный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473575" y="8982075"/>
          <a:ext cx="89535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1504950</xdr:colOff>
      <xdr:row>33</xdr:row>
      <xdr:rowOff>76200</xdr:rowOff>
    </xdr:from>
    <xdr:to>
      <xdr:col>1</xdr:col>
      <xdr:colOff>2400300</xdr:colOff>
      <xdr:row>33</xdr:row>
      <xdr:rowOff>276225</xdr:rowOff>
    </xdr:to>
    <xdr:pic>
      <xdr:nvPicPr>
        <xdr:cNvPr id="21" name="Picture 20" descr="Кирпич темно-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473575" y="9331325"/>
          <a:ext cx="89535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711654</xdr:colOff>
      <xdr:row>35</xdr:row>
      <xdr:rowOff>112980</xdr:rowOff>
    </xdr:from>
    <xdr:to>
      <xdr:col>0</xdr:col>
      <xdr:colOff>2245180</xdr:colOff>
      <xdr:row>38</xdr:row>
      <xdr:rowOff>237708</xdr:rowOff>
    </xdr:to>
    <xdr:pic>
      <xdr:nvPicPr>
        <xdr:cNvPr id="22" name="Picture 1515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711654" y="8875980"/>
          <a:ext cx="1533526" cy="1172478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1524000</xdr:colOff>
      <xdr:row>34</xdr:row>
      <xdr:rowOff>50800</xdr:rowOff>
    </xdr:from>
    <xdr:to>
      <xdr:col>1</xdr:col>
      <xdr:colOff>2324100</xdr:colOff>
      <xdr:row>34</xdr:row>
      <xdr:rowOff>279400</xdr:rowOff>
    </xdr:to>
    <xdr:pic>
      <xdr:nvPicPr>
        <xdr:cNvPr id="23" name="Picture 22" descr="Бут белый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492625" y="9655175"/>
          <a:ext cx="800100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1514475</xdr:colOff>
      <xdr:row>35</xdr:row>
      <xdr:rowOff>41275</xdr:rowOff>
    </xdr:from>
    <xdr:to>
      <xdr:col>1</xdr:col>
      <xdr:colOff>2324100</xdr:colOff>
      <xdr:row>35</xdr:row>
      <xdr:rowOff>279400</xdr:rowOff>
    </xdr:to>
    <xdr:pic>
      <xdr:nvPicPr>
        <xdr:cNvPr id="24" name="Picture 23" descr="Бут бежевый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483100" y="9994900"/>
          <a:ext cx="80962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1514475</xdr:colOff>
      <xdr:row>36</xdr:row>
      <xdr:rowOff>41275</xdr:rowOff>
    </xdr:from>
    <xdr:to>
      <xdr:col>1</xdr:col>
      <xdr:colOff>2324100</xdr:colOff>
      <xdr:row>36</xdr:row>
      <xdr:rowOff>279400</xdr:rowOff>
    </xdr:to>
    <xdr:pic>
      <xdr:nvPicPr>
        <xdr:cNvPr id="25" name="Picture 24" descr="Бут песочный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483100" y="10344150"/>
          <a:ext cx="80962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1514475</xdr:colOff>
      <xdr:row>37</xdr:row>
      <xdr:rowOff>41275</xdr:rowOff>
    </xdr:from>
    <xdr:to>
      <xdr:col>1</xdr:col>
      <xdr:colOff>2324100</xdr:colOff>
      <xdr:row>37</xdr:row>
      <xdr:rowOff>279400</xdr:rowOff>
    </xdr:to>
    <xdr:pic>
      <xdr:nvPicPr>
        <xdr:cNvPr id="26" name="Picture 25" descr="Бут оливковый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4483100" y="10693400"/>
          <a:ext cx="80962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1625600</xdr:colOff>
      <xdr:row>38</xdr:row>
      <xdr:rowOff>57150</xdr:rowOff>
    </xdr:from>
    <xdr:to>
      <xdr:col>1</xdr:col>
      <xdr:colOff>2435225</xdr:colOff>
      <xdr:row>38</xdr:row>
      <xdr:rowOff>295275</xdr:rowOff>
    </xdr:to>
    <xdr:pic>
      <xdr:nvPicPr>
        <xdr:cNvPr id="27" name="Picture 26" descr="Бут темно-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4721225" y="9867900"/>
          <a:ext cx="80962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744764</xdr:colOff>
      <xdr:row>40</xdr:row>
      <xdr:rowOff>160386</xdr:rowOff>
    </xdr:from>
    <xdr:to>
      <xdr:col>0</xdr:col>
      <xdr:colOff>2365375</xdr:colOff>
      <xdr:row>43</xdr:row>
      <xdr:rowOff>239263</xdr:rowOff>
    </xdr:to>
    <xdr:pic>
      <xdr:nvPicPr>
        <xdr:cNvPr id="28" name="Picture 1523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744764" y="10637886"/>
          <a:ext cx="1620611" cy="1158377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1438275</xdr:colOff>
      <xdr:row>39</xdr:row>
      <xdr:rowOff>66675</xdr:rowOff>
    </xdr:from>
    <xdr:to>
      <xdr:col>1</xdr:col>
      <xdr:colOff>2371725</xdr:colOff>
      <xdr:row>39</xdr:row>
      <xdr:rowOff>228600</xdr:rowOff>
    </xdr:to>
    <xdr:pic>
      <xdr:nvPicPr>
        <xdr:cNvPr id="29" name="Picture 28" descr="Парфир белый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533900" y="10172700"/>
          <a:ext cx="93345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1400175</xdr:colOff>
      <xdr:row>40</xdr:row>
      <xdr:rowOff>57150</xdr:rowOff>
    </xdr:from>
    <xdr:to>
      <xdr:col>1</xdr:col>
      <xdr:colOff>2371725</xdr:colOff>
      <xdr:row>40</xdr:row>
      <xdr:rowOff>228600</xdr:rowOff>
    </xdr:to>
    <xdr:pic>
      <xdr:nvPicPr>
        <xdr:cNvPr id="30" name="Picture 29" descr="Парфир бежевый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4495800" y="10477500"/>
          <a:ext cx="97155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1400175</xdr:colOff>
      <xdr:row>41</xdr:row>
      <xdr:rowOff>57150</xdr:rowOff>
    </xdr:from>
    <xdr:to>
      <xdr:col>1</xdr:col>
      <xdr:colOff>2371725</xdr:colOff>
      <xdr:row>41</xdr:row>
      <xdr:rowOff>228600</xdr:rowOff>
    </xdr:to>
    <xdr:pic>
      <xdr:nvPicPr>
        <xdr:cNvPr id="31" name="Picture 30" descr="Парфир 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495800" y="11125200"/>
          <a:ext cx="97155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1400175</xdr:colOff>
      <xdr:row>42</xdr:row>
      <xdr:rowOff>57150</xdr:rowOff>
    </xdr:from>
    <xdr:to>
      <xdr:col>1</xdr:col>
      <xdr:colOff>2371725</xdr:colOff>
      <xdr:row>42</xdr:row>
      <xdr:rowOff>228600</xdr:rowOff>
    </xdr:to>
    <xdr:pic>
      <xdr:nvPicPr>
        <xdr:cNvPr id="32" name="Picture 31" descr="Парфир песочный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4495800" y="11477625"/>
          <a:ext cx="97155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1590675</xdr:colOff>
      <xdr:row>43</xdr:row>
      <xdr:rowOff>73025</xdr:rowOff>
    </xdr:from>
    <xdr:to>
      <xdr:col>1</xdr:col>
      <xdr:colOff>2444750</xdr:colOff>
      <xdr:row>43</xdr:row>
      <xdr:rowOff>224736</xdr:rowOff>
    </xdr:to>
    <xdr:pic>
      <xdr:nvPicPr>
        <xdr:cNvPr id="34" name="Picture 33" descr="Парфир темно-коричневый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4559300" y="12820650"/>
          <a:ext cx="854075" cy="1517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615950</xdr:colOff>
      <xdr:row>45</xdr:row>
      <xdr:rowOff>205922</xdr:rowOff>
    </xdr:from>
    <xdr:to>
      <xdr:col>0</xdr:col>
      <xdr:colOff>2682875</xdr:colOff>
      <xdr:row>51</xdr:row>
      <xdr:rowOff>190623</xdr:rowOff>
    </xdr:to>
    <xdr:pic>
      <xdr:nvPicPr>
        <xdr:cNvPr id="35" name="Рисунок 16" descr="доломит.jp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15950" y="12604297"/>
          <a:ext cx="2066925" cy="14769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1571625</xdr:colOff>
      <xdr:row>44</xdr:row>
      <xdr:rowOff>50800</xdr:rowOff>
    </xdr:from>
    <xdr:to>
      <xdr:col>1</xdr:col>
      <xdr:colOff>2266950</xdr:colOff>
      <xdr:row>45</xdr:row>
      <xdr:rowOff>212725</xdr:rowOff>
    </xdr:to>
    <xdr:pic>
      <xdr:nvPicPr>
        <xdr:cNvPr id="36" name="Picture 35" descr="Доломит белый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4667250" y="12179300"/>
          <a:ext cx="695325" cy="431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1590675</xdr:colOff>
      <xdr:row>48</xdr:row>
      <xdr:rowOff>66675</xdr:rowOff>
    </xdr:from>
    <xdr:to>
      <xdr:col>1</xdr:col>
      <xdr:colOff>2171700</xdr:colOff>
      <xdr:row>49</xdr:row>
      <xdr:rowOff>201387</xdr:rowOff>
    </xdr:to>
    <xdr:pic>
      <xdr:nvPicPr>
        <xdr:cNvPr id="37" name="Picture 36" descr="Доломит серый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4686300" y="13338175"/>
          <a:ext cx="581025" cy="3569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1562100</xdr:colOff>
      <xdr:row>46</xdr:row>
      <xdr:rowOff>76200</xdr:rowOff>
    </xdr:from>
    <xdr:to>
      <xdr:col>1</xdr:col>
      <xdr:colOff>2238375</xdr:colOff>
      <xdr:row>47</xdr:row>
      <xdr:rowOff>276226</xdr:rowOff>
    </xdr:to>
    <xdr:pic>
      <xdr:nvPicPr>
        <xdr:cNvPr id="38" name="Picture 37" descr="Доломит бежевый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4657725" y="12744450"/>
          <a:ext cx="676275" cy="422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88900</xdr:colOff>
      <xdr:row>19</xdr:row>
      <xdr:rowOff>142875</xdr:rowOff>
    </xdr:from>
    <xdr:to>
      <xdr:col>6</xdr:col>
      <xdr:colOff>1489075</xdr:colOff>
      <xdr:row>21</xdr:row>
      <xdr:rowOff>9525</xdr:rowOff>
    </xdr:to>
    <xdr:pic>
      <xdr:nvPicPr>
        <xdr:cNvPr id="39" name="Picture 1510"/>
        <xdr:cNvPicPr preferRelativeResize="0">
          <a:picLocks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0677525" y="3492500"/>
          <a:ext cx="1400175" cy="4381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1485900</xdr:colOff>
      <xdr:row>18</xdr:row>
      <xdr:rowOff>228600</xdr:rowOff>
    </xdr:from>
    <xdr:to>
      <xdr:col>6</xdr:col>
      <xdr:colOff>2714625</xdr:colOff>
      <xdr:row>21</xdr:row>
      <xdr:rowOff>152400</xdr:rowOff>
    </xdr:to>
    <xdr:pic>
      <xdr:nvPicPr>
        <xdr:cNvPr id="4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1439525" y="3286125"/>
          <a:ext cx="12287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266700</xdr:colOff>
      <xdr:row>23</xdr:row>
      <xdr:rowOff>238125</xdr:rowOff>
    </xdr:from>
    <xdr:to>
      <xdr:col>6</xdr:col>
      <xdr:colOff>2457450</xdr:colOff>
      <xdr:row>25</xdr:row>
      <xdr:rowOff>123825</xdr:rowOff>
    </xdr:to>
    <xdr:pic>
      <xdr:nvPicPr>
        <xdr:cNvPr id="41" name="Picture 1511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0220325" y="4724400"/>
          <a:ext cx="2190750" cy="4572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26</xdr:row>
      <xdr:rowOff>200025</xdr:rowOff>
    </xdr:from>
    <xdr:to>
      <xdr:col>6</xdr:col>
      <xdr:colOff>2505075</xdr:colOff>
      <xdr:row>27</xdr:row>
      <xdr:rowOff>209550</xdr:rowOff>
    </xdr:to>
    <xdr:pic>
      <xdr:nvPicPr>
        <xdr:cNvPr id="42" name="Picture 156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0229850" y="5543550"/>
          <a:ext cx="2228850" cy="2952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296635</xdr:colOff>
      <xdr:row>42</xdr:row>
      <xdr:rowOff>11338</xdr:rowOff>
    </xdr:from>
    <xdr:to>
      <xdr:col>6</xdr:col>
      <xdr:colOff>946364</xdr:colOff>
      <xdr:row>47</xdr:row>
      <xdr:rowOff>238125</xdr:rowOff>
    </xdr:to>
    <xdr:pic>
      <xdr:nvPicPr>
        <xdr:cNvPr id="43" name="Picture 157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9869260" y="13584463"/>
          <a:ext cx="649729" cy="1560287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337458</xdr:colOff>
      <xdr:row>49</xdr:row>
      <xdr:rowOff>35379</xdr:rowOff>
    </xdr:from>
    <xdr:to>
      <xdr:col>6</xdr:col>
      <xdr:colOff>969080</xdr:colOff>
      <xdr:row>55</xdr:row>
      <xdr:rowOff>76201</xdr:rowOff>
    </xdr:to>
    <xdr:pic>
      <xdr:nvPicPr>
        <xdr:cNvPr id="44" name="Picture 158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9910083" y="15497629"/>
          <a:ext cx="631622" cy="1406072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385082</xdr:colOff>
      <xdr:row>57</xdr:row>
      <xdr:rowOff>3228</xdr:rowOff>
    </xdr:from>
    <xdr:to>
      <xdr:col>6</xdr:col>
      <xdr:colOff>726903</xdr:colOff>
      <xdr:row>59</xdr:row>
      <xdr:rowOff>174625</xdr:rowOff>
    </xdr:to>
    <xdr:pic>
      <xdr:nvPicPr>
        <xdr:cNvPr id="45" name="Picture 1593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9957707" y="17291103"/>
          <a:ext cx="341821" cy="647647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127000</xdr:colOff>
      <xdr:row>32</xdr:row>
      <xdr:rowOff>190500</xdr:rowOff>
    </xdr:from>
    <xdr:to>
      <xdr:col>6</xdr:col>
      <xdr:colOff>2674848</xdr:colOff>
      <xdr:row>36</xdr:row>
      <xdr:rowOff>334736</xdr:rowOff>
    </xdr:to>
    <xdr:pic>
      <xdr:nvPicPr>
        <xdr:cNvPr id="46" name="Рисунок 14" descr="декор вандштайн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0715625" y="7556500"/>
          <a:ext cx="2547848" cy="15412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1657350</xdr:colOff>
      <xdr:row>50</xdr:row>
      <xdr:rowOff>47625</xdr:rowOff>
    </xdr:from>
    <xdr:to>
      <xdr:col>1</xdr:col>
      <xdr:colOff>2105025</xdr:colOff>
      <xdr:row>51</xdr:row>
      <xdr:rowOff>165100</xdr:rowOff>
    </xdr:to>
    <xdr:pic>
      <xdr:nvPicPr>
        <xdr:cNvPr id="48" name="Picture 53" descr="Безимени-1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752975" y="14011275"/>
          <a:ext cx="44767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1154791</xdr:colOff>
      <xdr:row>60</xdr:row>
      <xdr:rowOff>31750</xdr:rowOff>
    </xdr:from>
    <xdr:to>
      <xdr:col>0</xdr:col>
      <xdr:colOff>1666875</xdr:colOff>
      <xdr:row>64</xdr:row>
      <xdr:rowOff>146108</xdr:rowOff>
    </xdr:to>
    <xdr:pic>
      <xdr:nvPicPr>
        <xdr:cNvPr id="49" name="Рисунок 62" descr="sanstein2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154791" y="18049875"/>
          <a:ext cx="512084" cy="9239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1070883</xdr:colOff>
      <xdr:row>55</xdr:row>
      <xdr:rowOff>54129</xdr:rowOff>
    </xdr:from>
    <xdr:to>
      <xdr:col>0</xdr:col>
      <xdr:colOff>1973035</xdr:colOff>
      <xdr:row>58</xdr:row>
      <xdr:rowOff>54429</xdr:rowOff>
    </xdr:to>
    <xdr:pic>
      <xdr:nvPicPr>
        <xdr:cNvPr id="50" name="Рисунок 63" descr="sanstein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070883" y="15017904"/>
          <a:ext cx="902152" cy="695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2</xdr:col>
      <xdr:colOff>1127125</xdr:colOff>
      <xdr:row>6</xdr:row>
      <xdr:rowOff>56664</xdr:rowOff>
    </xdr:to>
    <xdr:pic>
      <xdr:nvPicPr>
        <xdr:cNvPr id="5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" y="0"/>
          <a:ext cx="6603999" cy="1437789"/>
        </a:xfrm>
        <a:prstGeom prst="rect">
          <a:avLst/>
        </a:prstGeom>
        <a:noFill/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0</xdr:colOff>
          <xdr:row>50</xdr:row>
          <xdr:rowOff>171450</xdr:rowOff>
        </xdr:from>
        <xdr:ext cx="876300" cy="546100"/>
        <xdr:sp macro="" textlink="">
          <xdr:nvSpPr>
            <xdr:cNvPr id="1025" name="Label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wrap="none" lIns="9144" tIns="18288" rIns="0" bIns="0" anchor="t" upright="1">
              <a:spAutoFit/>
            </a:bodyPr>
            <a:lstStyle/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так же</a:t>
              </a:r>
            </a:p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используется</a:t>
              </a:r>
            </a:p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вместе с фасадной</a:t>
              </a:r>
            </a:p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панелью «Бут»</a:t>
              </a:r>
            </a:p>
          </xdr:txBody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1647825</xdr:colOff>
          <xdr:row>43</xdr:row>
          <xdr:rowOff>0</xdr:rowOff>
        </xdr:from>
        <xdr:to>
          <xdr:col>6</xdr:col>
          <xdr:colOff>2686050</xdr:colOff>
          <xdr:row>45</xdr:row>
          <xdr:rowOff>161925</xdr:rowOff>
        </xdr:to>
        <xdr:sp macro="" textlink="">
          <xdr:nvSpPr>
            <xdr:cNvPr id="1026" name="Label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18288" tIns="18288" rIns="0" bIns="0" anchor="t" upright="1"/>
            <a:lstStyle/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так же</a:t>
              </a:r>
            </a:p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используется</a:t>
              </a:r>
            </a:p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вместе с фасадной</a:t>
              </a:r>
            </a:p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панелью «Парфир»</a:t>
              </a:r>
            </a:p>
          </xdr:txBody>
        </xdr:sp>
        <xdr:clientData fLocksWithSheet="0"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80962</xdr:colOff>
      <xdr:row>23</xdr:row>
      <xdr:rowOff>95265</xdr:rowOff>
    </xdr:from>
    <xdr:to>
      <xdr:col>0</xdr:col>
      <xdr:colOff>1947862</xdr:colOff>
      <xdr:row>25</xdr:row>
      <xdr:rowOff>552465</xdr:rowOff>
    </xdr:to>
    <xdr:pic>
      <xdr:nvPicPr>
        <xdr:cNvPr id="2" name="Picture 171" descr="Рисунок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0962" y="8867790"/>
          <a:ext cx="1866900" cy="1600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152400</xdr:colOff>
      <xdr:row>42</xdr:row>
      <xdr:rowOff>266699</xdr:rowOff>
    </xdr:from>
    <xdr:to>
      <xdr:col>0</xdr:col>
      <xdr:colOff>1924050</xdr:colOff>
      <xdr:row>47</xdr:row>
      <xdr:rowOff>261936</xdr:rowOff>
    </xdr:to>
    <xdr:pic>
      <xdr:nvPicPr>
        <xdr:cNvPr id="4" name="Picture 18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52400" y="18535649"/>
          <a:ext cx="1771650" cy="3109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23799</xdr:rowOff>
    </xdr:from>
    <xdr:to>
      <xdr:col>3</xdr:col>
      <xdr:colOff>142875</xdr:colOff>
      <xdr:row>10</xdr:row>
      <xdr:rowOff>82855</xdr:rowOff>
    </xdr:to>
    <xdr:pic>
      <xdr:nvPicPr>
        <xdr:cNvPr id="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3799"/>
          <a:ext cx="10239375" cy="219265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34</xdr:row>
      <xdr:rowOff>59698</xdr:rowOff>
    </xdr:from>
    <xdr:to>
      <xdr:col>0</xdr:col>
      <xdr:colOff>1976438</xdr:colOff>
      <xdr:row>40</xdr:row>
      <xdr:rowOff>204787</xdr:rowOff>
    </xdr:to>
    <xdr:pic>
      <xdr:nvPicPr>
        <xdr:cNvPr id="307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95250" y="14156698"/>
          <a:ext cx="1881188" cy="2526339"/>
        </a:xfrm>
        <a:prstGeom prst="rect">
          <a:avLst/>
        </a:prstGeom>
        <a:noFill/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352425</xdr:colOff>
      <xdr:row>13</xdr:row>
      <xdr:rowOff>0</xdr:rowOff>
    </xdr:from>
    <xdr:to>
      <xdr:col>0</xdr:col>
      <xdr:colOff>1562100</xdr:colOff>
      <xdr:row>19</xdr:row>
      <xdr:rowOff>703984</xdr:rowOff>
    </xdr:to>
    <xdr:pic>
      <xdr:nvPicPr>
        <xdr:cNvPr id="3" name="Picture 140" descr="Рисунок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52425" y="4238625"/>
          <a:ext cx="1209675" cy="3057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594452</xdr:colOff>
      <xdr:row>39</xdr:row>
      <xdr:rowOff>68408</xdr:rowOff>
    </xdr:from>
    <xdr:to>
      <xdr:col>0</xdr:col>
      <xdr:colOff>1156427</xdr:colOff>
      <xdr:row>39</xdr:row>
      <xdr:rowOff>468458</xdr:rowOff>
    </xdr:to>
    <xdr:pic>
      <xdr:nvPicPr>
        <xdr:cNvPr id="4" name="Picture 143" descr="Рисунок3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594452" y="17732953"/>
          <a:ext cx="56197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561975</xdr:colOff>
      <xdr:row>49</xdr:row>
      <xdr:rowOff>133350</xdr:rowOff>
    </xdr:from>
    <xdr:to>
      <xdr:col>0</xdr:col>
      <xdr:colOff>1038225</xdr:colOff>
      <xdr:row>49</xdr:row>
      <xdr:rowOff>762000</xdr:rowOff>
    </xdr:to>
    <xdr:pic>
      <xdr:nvPicPr>
        <xdr:cNvPr id="5" name="Picture 156" descr="Рисунок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561975" y="24222075"/>
          <a:ext cx="47625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47</xdr:row>
      <xdr:rowOff>133350</xdr:rowOff>
    </xdr:from>
    <xdr:to>
      <xdr:col>0</xdr:col>
      <xdr:colOff>1419225</xdr:colOff>
      <xdr:row>47</xdr:row>
      <xdr:rowOff>609600</xdr:rowOff>
    </xdr:to>
    <xdr:pic>
      <xdr:nvPicPr>
        <xdr:cNvPr id="6" name="Picture 174" descr="Рисунок3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52425" y="22612350"/>
          <a:ext cx="1066800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266700</xdr:colOff>
      <xdr:row>64</xdr:row>
      <xdr:rowOff>114300</xdr:rowOff>
    </xdr:from>
    <xdr:to>
      <xdr:col>0</xdr:col>
      <xdr:colOff>1581150</xdr:colOff>
      <xdr:row>64</xdr:row>
      <xdr:rowOff>666750</xdr:rowOff>
    </xdr:to>
    <xdr:pic>
      <xdr:nvPicPr>
        <xdr:cNvPr id="7" name="Picture 234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66700" y="31803975"/>
          <a:ext cx="131445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438150</xdr:colOff>
      <xdr:row>46</xdr:row>
      <xdr:rowOff>133350</xdr:rowOff>
    </xdr:from>
    <xdr:to>
      <xdr:col>0</xdr:col>
      <xdr:colOff>1238250</xdr:colOff>
      <xdr:row>46</xdr:row>
      <xdr:rowOff>666750</xdr:rowOff>
    </xdr:to>
    <xdr:pic>
      <xdr:nvPicPr>
        <xdr:cNvPr id="8" name="Picture 235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38150" y="21783675"/>
          <a:ext cx="80010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20399</xdr:colOff>
      <xdr:row>63</xdr:row>
      <xdr:rowOff>1000125</xdr:rowOff>
    </xdr:from>
    <xdr:to>
      <xdr:col>0</xdr:col>
      <xdr:colOff>1795272</xdr:colOff>
      <xdr:row>63</xdr:row>
      <xdr:rowOff>1610591</xdr:rowOff>
    </xdr:to>
    <xdr:pic>
      <xdr:nvPicPr>
        <xdr:cNvPr id="9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0399" y="37316352"/>
          <a:ext cx="1774873" cy="6104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381000</xdr:colOff>
      <xdr:row>42</xdr:row>
      <xdr:rowOff>152400</xdr:rowOff>
    </xdr:from>
    <xdr:to>
      <xdr:col>0</xdr:col>
      <xdr:colOff>1419225</xdr:colOff>
      <xdr:row>42</xdr:row>
      <xdr:rowOff>581025</xdr:rowOff>
    </xdr:to>
    <xdr:pic>
      <xdr:nvPicPr>
        <xdr:cNvPr id="10" name="Picture 187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81000" y="19831050"/>
          <a:ext cx="103822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257175</xdr:colOff>
      <xdr:row>57</xdr:row>
      <xdr:rowOff>57150</xdr:rowOff>
    </xdr:from>
    <xdr:to>
      <xdr:col>0</xdr:col>
      <xdr:colOff>1819275</xdr:colOff>
      <xdr:row>60</xdr:row>
      <xdr:rowOff>171449</xdr:rowOff>
    </xdr:to>
    <xdr:pic>
      <xdr:nvPicPr>
        <xdr:cNvPr id="11" name="Picture 34" descr="СББ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57175" y="27174825"/>
          <a:ext cx="1562100" cy="885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561975</xdr:colOff>
      <xdr:row>61</xdr:row>
      <xdr:rowOff>38100</xdr:rowOff>
    </xdr:from>
    <xdr:to>
      <xdr:col>0</xdr:col>
      <xdr:colOff>1400175</xdr:colOff>
      <xdr:row>61</xdr:row>
      <xdr:rowOff>838200</xdr:rowOff>
    </xdr:to>
    <xdr:pic>
      <xdr:nvPicPr>
        <xdr:cNvPr id="12" name="Picture 36" descr="Струна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561975" y="28136850"/>
          <a:ext cx="83820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447675</xdr:colOff>
      <xdr:row>48</xdr:row>
      <xdr:rowOff>76200</xdr:rowOff>
    </xdr:from>
    <xdr:to>
      <xdr:col>0</xdr:col>
      <xdr:colOff>1285875</xdr:colOff>
      <xdr:row>48</xdr:row>
      <xdr:rowOff>628650</xdr:rowOff>
    </xdr:to>
    <xdr:pic>
      <xdr:nvPicPr>
        <xdr:cNvPr id="13" name="Picture 37" descr="огр_0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47675" y="23469600"/>
          <a:ext cx="83820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342900</xdr:colOff>
      <xdr:row>41</xdr:row>
      <xdr:rowOff>96982</xdr:rowOff>
    </xdr:from>
    <xdr:to>
      <xdr:col>0</xdr:col>
      <xdr:colOff>1466850</xdr:colOff>
      <xdr:row>41</xdr:row>
      <xdr:rowOff>639907</xdr:rowOff>
    </xdr:to>
    <xdr:pic>
      <xdr:nvPicPr>
        <xdr:cNvPr id="14" name="Picture 931" descr="Желе_007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42900" y="18939164"/>
          <a:ext cx="1123950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198293</xdr:colOff>
      <xdr:row>40</xdr:row>
      <xdr:rowOff>128154</xdr:rowOff>
    </xdr:from>
    <xdr:to>
      <xdr:col>0</xdr:col>
      <xdr:colOff>1617518</xdr:colOff>
      <xdr:row>40</xdr:row>
      <xdr:rowOff>518679</xdr:rowOff>
    </xdr:to>
    <xdr:pic>
      <xdr:nvPicPr>
        <xdr:cNvPr id="15" name="Picture 93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98293" y="18346881"/>
          <a:ext cx="14192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</xdr:colOff>
      <xdr:row>29</xdr:row>
      <xdr:rowOff>119064</xdr:rowOff>
    </xdr:from>
    <xdr:to>
      <xdr:col>0</xdr:col>
      <xdr:colOff>928688</xdr:colOff>
      <xdr:row>30</xdr:row>
      <xdr:rowOff>355329</xdr:rowOff>
    </xdr:to>
    <xdr:pic>
      <xdr:nvPicPr>
        <xdr:cNvPr id="16" name="Picture 141" descr="Рисунок3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76200" y="10939464"/>
          <a:ext cx="852488" cy="8172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752475</xdr:colOff>
      <xdr:row>34</xdr:row>
      <xdr:rowOff>647700</xdr:rowOff>
    </xdr:from>
    <xdr:to>
      <xdr:col>0</xdr:col>
      <xdr:colOff>1343025</xdr:colOff>
      <xdr:row>34</xdr:row>
      <xdr:rowOff>962025</xdr:rowOff>
    </xdr:to>
    <xdr:pic>
      <xdr:nvPicPr>
        <xdr:cNvPr id="17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752475" y="14754225"/>
          <a:ext cx="59055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35</xdr:row>
      <xdr:rowOff>161925</xdr:rowOff>
    </xdr:from>
    <xdr:to>
      <xdr:col>0</xdr:col>
      <xdr:colOff>876300</xdr:colOff>
      <xdr:row>35</xdr:row>
      <xdr:rowOff>581025</xdr:rowOff>
    </xdr:to>
    <xdr:pic>
      <xdr:nvPicPr>
        <xdr:cNvPr id="18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6675" y="15306675"/>
          <a:ext cx="80962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1085850</xdr:colOff>
      <xdr:row>35</xdr:row>
      <xdr:rowOff>152400</xdr:rowOff>
    </xdr:from>
    <xdr:to>
      <xdr:col>0</xdr:col>
      <xdr:colOff>1733550</xdr:colOff>
      <xdr:row>35</xdr:row>
      <xdr:rowOff>752475</xdr:rowOff>
    </xdr:to>
    <xdr:pic>
      <xdr:nvPicPr>
        <xdr:cNvPr id="19" name="Рисунок 37" descr="хомут крайний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085850" y="15297150"/>
          <a:ext cx="647700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1066800</xdr:colOff>
      <xdr:row>34</xdr:row>
      <xdr:rowOff>133350</xdr:rowOff>
    </xdr:from>
    <xdr:to>
      <xdr:col>0</xdr:col>
      <xdr:colOff>1590675</xdr:colOff>
      <xdr:row>34</xdr:row>
      <xdr:rowOff>552450</xdr:rowOff>
    </xdr:to>
    <xdr:pic>
      <xdr:nvPicPr>
        <xdr:cNvPr id="20" name="Рисунок 38" descr="хомут угловой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66800" y="14239875"/>
          <a:ext cx="52387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34</xdr:row>
      <xdr:rowOff>76201</xdr:rowOff>
    </xdr:from>
    <xdr:to>
      <xdr:col>0</xdr:col>
      <xdr:colOff>714375</xdr:colOff>
      <xdr:row>34</xdr:row>
      <xdr:rowOff>676276</xdr:rowOff>
    </xdr:to>
    <xdr:pic>
      <xdr:nvPicPr>
        <xdr:cNvPr id="21" name="Рисунок 39" descr="хомут крайний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6675" y="14182726"/>
          <a:ext cx="647700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657225</xdr:colOff>
      <xdr:row>32</xdr:row>
      <xdr:rowOff>57150</xdr:rowOff>
    </xdr:from>
    <xdr:to>
      <xdr:col>0</xdr:col>
      <xdr:colOff>1285875</xdr:colOff>
      <xdr:row>32</xdr:row>
      <xdr:rowOff>685800</xdr:rowOff>
    </xdr:to>
    <xdr:pic>
      <xdr:nvPicPr>
        <xdr:cNvPr id="23" name="Рисунок 24" descr="IMG_3999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57225" y="12620625"/>
          <a:ext cx="62865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76201</xdr:colOff>
      <xdr:row>50</xdr:row>
      <xdr:rowOff>133350</xdr:rowOff>
    </xdr:from>
    <xdr:to>
      <xdr:col>0</xdr:col>
      <xdr:colOff>1322389</xdr:colOff>
      <xdr:row>50</xdr:row>
      <xdr:rowOff>1371600</xdr:rowOff>
    </xdr:to>
    <xdr:pic>
      <xdr:nvPicPr>
        <xdr:cNvPr id="2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76201" y="25126950"/>
          <a:ext cx="1246188" cy="12382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933450</xdr:colOff>
      <xdr:row>29</xdr:row>
      <xdr:rowOff>166687</xdr:rowOff>
    </xdr:from>
    <xdr:to>
      <xdr:col>0</xdr:col>
      <xdr:colOff>1847850</xdr:colOff>
      <xdr:row>30</xdr:row>
      <xdr:rowOff>458788</xdr:rowOff>
    </xdr:to>
    <xdr:pic>
      <xdr:nvPicPr>
        <xdr:cNvPr id="2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933450" y="10987087"/>
          <a:ext cx="914400" cy="8731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785812</xdr:colOff>
      <xdr:row>50</xdr:row>
      <xdr:rowOff>1214437</xdr:rowOff>
    </xdr:from>
    <xdr:to>
      <xdr:col>0</xdr:col>
      <xdr:colOff>1750218</xdr:colOff>
      <xdr:row>50</xdr:row>
      <xdr:rowOff>2047875</xdr:rowOff>
    </xdr:to>
    <xdr:pic>
      <xdr:nvPicPr>
        <xdr:cNvPr id="26" name="Picture 155" descr="Рисунок4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85812" y="26208037"/>
          <a:ext cx="964406" cy="833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555086</xdr:colOff>
      <xdr:row>24</xdr:row>
      <xdr:rowOff>168815</xdr:rowOff>
    </xdr:from>
    <xdr:to>
      <xdr:col>0</xdr:col>
      <xdr:colOff>1412336</xdr:colOff>
      <xdr:row>27</xdr:row>
      <xdr:rowOff>269337</xdr:rowOff>
    </xdr:to>
    <xdr:pic>
      <xdr:nvPicPr>
        <xdr:cNvPr id="27" name="Рисунок 26" descr="столб 51 RAL6005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 rot="17246432">
          <a:off x="-157163" y="8805864"/>
          <a:ext cx="2281747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36</xdr:row>
      <xdr:rowOff>34925</xdr:rowOff>
    </xdr:from>
    <xdr:to>
      <xdr:col>0</xdr:col>
      <xdr:colOff>1628774</xdr:colOff>
      <xdr:row>36</xdr:row>
      <xdr:rowOff>782047</xdr:rowOff>
    </xdr:to>
    <xdr:pic>
      <xdr:nvPicPr>
        <xdr:cNvPr id="28" name="Рисунок 27" descr="крепление для столба 51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215900" y="16065500"/>
          <a:ext cx="1412874" cy="747122"/>
        </a:xfrm>
        <a:prstGeom prst="rect">
          <a:avLst/>
        </a:prstGeom>
      </xdr:spPr>
    </xdr:pic>
    <xdr:clientData/>
  </xdr:twoCellAnchor>
  <xdr:twoCellAnchor editAs="oneCell">
    <xdr:from>
      <xdr:col>0</xdr:col>
      <xdr:colOff>952469</xdr:colOff>
      <xdr:row>43</xdr:row>
      <xdr:rowOff>16437</xdr:rowOff>
    </xdr:from>
    <xdr:to>
      <xdr:col>0</xdr:col>
      <xdr:colOff>1281132</xdr:colOff>
      <xdr:row>45</xdr:row>
      <xdr:rowOff>6179</xdr:rowOff>
    </xdr:to>
    <xdr:pic>
      <xdr:nvPicPr>
        <xdr:cNvPr id="29" name="Рисунок 28" descr="Наконечник прямой_8017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 rot="2034787">
          <a:off x="952469" y="20580912"/>
          <a:ext cx="328663" cy="1075593"/>
        </a:xfrm>
        <a:prstGeom prst="rect">
          <a:avLst/>
        </a:prstGeom>
      </xdr:spPr>
    </xdr:pic>
    <xdr:clientData/>
  </xdr:twoCellAnchor>
  <xdr:twoCellAnchor editAs="oneCell">
    <xdr:from>
      <xdr:col>0</xdr:col>
      <xdr:colOff>592282</xdr:colOff>
      <xdr:row>38</xdr:row>
      <xdr:rowOff>83842</xdr:rowOff>
    </xdr:from>
    <xdr:to>
      <xdr:col>0</xdr:col>
      <xdr:colOff>1039091</xdr:colOff>
      <xdr:row>38</xdr:row>
      <xdr:rowOff>632175</xdr:rowOff>
    </xdr:to>
    <xdr:pic>
      <xdr:nvPicPr>
        <xdr:cNvPr id="30" name="Рисунок 29" descr="крепление рулонной сетки на 51й столб_00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592282" y="17003706"/>
          <a:ext cx="446809" cy="548333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37</xdr:row>
      <xdr:rowOff>86590</xdr:rowOff>
    </xdr:from>
    <xdr:to>
      <xdr:col>0</xdr:col>
      <xdr:colOff>1472044</xdr:colOff>
      <xdr:row>37</xdr:row>
      <xdr:rowOff>822071</xdr:rowOff>
    </xdr:to>
    <xdr:pic>
      <xdr:nvPicPr>
        <xdr:cNvPr id="31" name="Рисунок 30" descr="крепление хомут 62х55 для наконечника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80999" y="17006454"/>
          <a:ext cx="1091045" cy="735481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571499</xdr:colOff>
      <xdr:row>62</xdr:row>
      <xdr:rowOff>51954</xdr:rowOff>
    </xdr:from>
    <xdr:to>
      <xdr:col>0</xdr:col>
      <xdr:colOff>1409699</xdr:colOff>
      <xdr:row>62</xdr:row>
      <xdr:rowOff>852054</xdr:rowOff>
    </xdr:to>
    <xdr:pic>
      <xdr:nvPicPr>
        <xdr:cNvPr id="32" name="Picture 36" descr="Струна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571499" y="29977772"/>
          <a:ext cx="83820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693234</xdr:colOff>
      <xdr:row>7</xdr:row>
      <xdr:rowOff>51954</xdr:rowOff>
    </xdr:to>
    <xdr:pic>
      <xdr:nvPicPr>
        <xdr:cNvPr id="3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0"/>
          <a:ext cx="7152916" cy="15586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138545</xdr:colOff>
      <xdr:row>28</xdr:row>
      <xdr:rowOff>34637</xdr:rowOff>
    </xdr:from>
    <xdr:to>
      <xdr:col>0</xdr:col>
      <xdr:colOff>1627909</xdr:colOff>
      <xdr:row>28</xdr:row>
      <xdr:rowOff>636173</xdr:rowOff>
    </xdr:to>
    <xdr:pic>
      <xdr:nvPicPr>
        <xdr:cNvPr id="36" name="Рисунок 35" descr="укосина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38545" y="11481955"/>
          <a:ext cx="1489364" cy="60153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56</xdr:row>
      <xdr:rowOff>25110</xdr:rowOff>
    </xdr:from>
    <xdr:to>
      <xdr:col>0</xdr:col>
      <xdr:colOff>1316182</xdr:colOff>
      <xdr:row>56</xdr:row>
      <xdr:rowOff>1174185</xdr:rowOff>
    </xdr:to>
    <xdr:pic>
      <xdr:nvPicPr>
        <xdr:cNvPr id="37" name="Рисунок 36" descr="Приспособление для винтовых опор.pn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571500" y="32410110"/>
          <a:ext cx="744682" cy="1149075"/>
        </a:xfrm>
        <a:prstGeom prst="rect">
          <a:avLst/>
        </a:prstGeom>
      </xdr:spPr>
    </xdr:pic>
    <xdr:clientData/>
  </xdr:twoCellAnchor>
  <xdr:twoCellAnchor editAs="oneCell">
    <xdr:from>
      <xdr:col>0</xdr:col>
      <xdr:colOff>796637</xdr:colOff>
      <xdr:row>45</xdr:row>
      <xdr:rowOff>1</xdr:rowOff>
    </xdr:from>
    <xdr:to>
      <xdr:col>0</xdr:col>
      <xdr:colOff>1074340</xdr:colOff>
      <xdr:row>45</xdr:row>
      <xdr:rowOff>554183</xdr:rowOff>
    </xdr:to>
    <xdr:pic>
      <xdr:nvPicPr>
        <xdr:cNvPr id="38" name="Рисунок 37" descr="наконечник для уличного освещения.pn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796637" y="24072274"/>
          <a:ext cx="277703" cy="554182"/>
        </a:xfrm>
        <a:prstGeom prst="rect">
          <a:avLst/>
        </a:prstGeom>
      </xdr:spPr>
    </xdr:pic>
    <xdr:clientData/>
  </xdr:twoCellAnchor>
  <xdr:twoCellAnchor editAs="oneCell">
    <xdr:from>
      <xdr:col>0</xdr:col>
      <xdr:colOff>17317</xdr:colOff>
      <xdr:row>51</xdr:row>
      <xdr:rowOff>25110</xdr:rowOff>
    </xdr:from>
    <xdr:to>
      <xdr:col>0</xdr:col>
      <xdr:colOff>1893742</xdr:colOff>
      <xdr:row>52</xdr:row>
      <xdr:rowOff>690128</xdr:rowOff>
    </xdr:to>
    <xdr:pic>
      <xdr:nvPicPr>
        <xdr:cNvPr id="307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7317" y="30158746"/>
          <a:ext cx="1876425" cy="13923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34636</xdr:colOff>
      <xdr:row>53</xdr:row>
      <xdr:rowOff>640772</xdr:rowOff>
    </xdr:from>
    <xdr:to>
      <xdr:col>0</xdr:col>
      <xdr:colOff>1730086</xdr:colOff>
      <xdr:row>54</xdr:row>
      <xdr:rowOff>563706</xdr:rowOff>
    </xdr:to>
    <xdr:pic>
      <xdr:nvPicPr>
        <xdr:cNvPr id="307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34636" y="32211817"/>
          <a:ext cx="1695450" cy="63298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606138</xdr:colOff>
      <xdr:row>33</xdr:row>
      <xdr:rowOff>51955</xdr:rowOff>
    </xdr:from>
    <xdr:to>
      <xdr:col>0</xdr:col>
      <xdr:colOff>1212273</xdr:colOff>
      <xdr:row>33</xdr:row>
      <xdr:rowOff>715560</xdr:rowOff>
    </xdr:to>
    <xdr:pic>
      <xdr:nvPicPr>
        <xdr:cNvPr id="39" name="Рисунок 38" descr="крепление Скоба + Саморез 5,5х32.jp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606138" y="14755091"/>
          <a:ext cx="606135" cy="663605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254576</xdr:colOff>
      <xdr:row>53</xdr:row>
      <xdr:rowOff>219075</xdr:rowOff>
    </xdr:from>
    <xdr:to>
      <xdr:col>0</xdr:col>
      <xdr:colOff>1645226</xdr:colOff>
      <xdr:row>54</xdr:row>
      <xdr:rowOff>247649</xdr:rowOff>
    </xdr:to>
    <xdr:pic>
      <xdr:nvPicPr>
        <xdr:cNvPr id="2" name="Picture 277" descr="Рисунок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4576" y="27218120"/>
          <a:ext cx="1390650" cy="6693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447675</xdr:colOff>
      <xdr:row>52</xdr:row>
      <xdr:rowOff>95250</xdr:rowOff>
    </xdr:from>
    <xdr:to>
      <xdr:col>0</xdr:col>
      <xdr:colOff>1162050</xdr:colOff>
      <xdr:row>52</xdr:row>
      <xdr:rowOff>590550</xdr:rowOff>
    </xdr:to>
    <xdr:pic>
      <xdr:nvPicPr>
        <xdr:cNvPr id="3" name="Picture 278" descr="Рисунок2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47675" y="26308050"/>
          <a:ext cx="71437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600075</xdr:colOff>
      <xdr:row>51</xdr:row>
      <xdr:rowOff>38100</xdr:rowOff>
    </xdr:from>
    <xdr:to>
      <xdr:col>0</xdr:col>
      <xdr:colOff>981075</xdr:colOff>
      <xdr:row>51</xdr:row>
      <xdr:rowOff>476250</xdr:rowOff>
    </xdr:to>
    <xdr:pic>
      <xdr:nvPicPr>
        <xdr:cNvPr id="4" name="Picture 279" descr="Рисунок2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00075" y="25650825"/>
          <a:ext cx="38100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</xdr:colOff>
      <xdr:row>28</xdr:row>
      <xdr:rowOff>180975</xdr:rowOff>
    </xdr:from>
    <xdr:to>
      <xdr:col>0</xdr:col>
      <xdr:colOff>1885950</xdr:colOff>
      <xdr:row>29</xdr:row>
      <xdr:rowOff>600075</xdr:rowOff>
    </xdr:to>
    <xdr:pic>
      <xdr:nvPicPr>
        <xdr:cNvPr id="5" name="Picture 285" descr="IMG_533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9525" y="11963400"/>
          <a:ext cx="18764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353293</xdr:colOff>
      <xdr:row>41</xdr:row>
      <xdr:rowOff>89807</xdr:rowOff>
    </xdr:from>
    <xdr:to>
      <xdr:col>0</xdr:col>
      <xdr:colOff>1553443</xdr:colOff>
      <xdr:row>41</xdr:row>
      <xdr:rowOff>685800</xdr:rowOff>
    </xdr:to>
    <xdr:pic>
      <xdr:nvPicPr>
        <xdr:cNvPr id="6" name="Picture 28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53293" y="18810762"/>
          <a:ext cx="1200150" cy="5959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316059</xdr:colOff>
      <xdr:row>46</xdr:row>
      <xdr:rowOff>93518</xdr:rowOff>
    </xdr:from>
    <xdr:to>
      <xdr:col>0</xdr:col>
      <xdr:colOff>1449534</xdr:colOff>
      <xdr:row>46</xdr:row>
      <xdr:rowOff>837361</xdr:rowOff>
    </xdr:to>
    <xdr:pic>
      <xdr:nvPicPr>
        <xdr:cNvPr id="7" name="Picture 29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316059" y="21983700"/>
          <a:ext cx="1133475" cy="7438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356756</xdr:colOff>
      <xdr:row>47</xdr:row>
      <xdr:rowOff>114300</xdr:rowOff>
    </xdr:from>
    <xdr:to>
      <xdr:col>0</xdr:col>
      <xdr:colOff>1318781</xdr:colOff>
      <xdr:row>47</xdr:row>
      <xdr:rowOff>819150</xdr:rowOff>
    </xdr:to>
    <xdr:pic>
      <xdr:nvPicPr>
        <xdr:cNvPr id="8" name="Picture 29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56756" y="22922345"/>
          <a:ext cx="9620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628650</xdr:colOff>
      <xdr:row>48</xdr:row>
      <xdr:rowOff>28575</xdr:rowOff>
    </xdr:from>
    <xdr:to>
      <xdr:col>0</xdr:col>
      <xdr:colOff>1104900</xdr:colOff>
      <xdr:row>48</xdr:row>
      <xdr:rowOff>561975</xdr:rowOff>
    </xdr:to>
    <xdr:pic>
      <xdr:nvPicPr>
        <xdr:cNvPr id="9" name="Picture 294" descr="Рисунок37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28650" y="23612475"/>
          <a:ext cx="47625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609600</xdr:colOff>
      <xdr:row>49</xdr:row>
      <xdr:rowOff>57150</xdr:rowOff>
    </xdr:from>
    <xdr:to>
      <xdr:col>0</xdr:col>
      <xdr:colOff>1066800</xdr:colOff>
      <xdr:row>49</xdr:row>
      <xdr:rowOff>552450</xdr:rowOff>
    </xdr:to>
    <xdr:pic>
      <xdr:nvPicPr>
        <xdr:cNvPr id="10" name="Picture 29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09600" y="24222075"/>
          <a:ext cx="45720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561975</xdr:colOff>
      <xdr:row>50</xdr:row>
      <xdr:rowOff>114300</xdr:rowOff>
    </xdr:from>
    <xdr:to>
      <xdr:col>0</xdr:col>
      <xdr:colOff>1057275</xdr:colOff>
      <xdr:row>50</xdr:row>
      <xdr:rowOff>771525</xdr:rowOff>
    </xdr:to>
    <xdr:pic>
      <xdr:nvPicPr>
        <xdr:cNvPr id="11" name="Picture 29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561975" y="24841200"/>
          <a:ext cx="49530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409576</xdr:colOff>
      <xdr:row>19</xdr:row>
      <xdr:rowOff>76200</xdr:rowOff>
    </xdr:from>
    <xdr:to>
      <xdr:col>0</xdr:col>
      <xdr:colOff>1462412</xdr:colOff>
      <xdr:row>20</xdr:row>
      <xdr:rowOff>466725</xdr:rowOff>
    </xdr:to>
    <xdr:pic>
      <xdr:nvPicPr>
        <xdr:cNvPr id="12" name="Picture 282" descr="Рисунок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09576" y="6362700"/>
          <a:ext cx="1052836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381000</xdr:colOff>
      <xdr:row>23</xdr:row>
      <xdr:rowOff>128361</xdr:rowOff>
    </xdr:from>
    <xdr:to>
      <xdr:col>0</xdr:col>
      <xdr:colOff>1428750</xdr:colOff>
      <xdr:row>24</xdr:row>
      <xdr:rowOff>485775</xdr:rowOff>
    </xdr:to>
    <xdr:pic>
      <xdr:nvPicPr>
        <xdr:cNvPr id="13" name="Picture 283" descr="Рисунок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81000" y="8205561"/>
          <a:ext cx="1047750" cy="9670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323850</xdr:colOff>
      <xdr:row>25</xdr:row>
      <xdr:rowOff>171450</xdr:rowOff>
    </xdr:from>
    <xdr:to>
      <xdr:col>0</xdr:col>
      <xdr:colOff>1452101</xdr:colOff>
      <xdr:row>25</xdr:row>
      <xdr:rowOff>1200149</xdr:rowOff>
    </xdr:to>
    <xdr:pic>
      <xdr:nvPicPr>
        <xdr:cNvPr id="14" name="Picture 284" descr="Рисунок2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323850" y="9467850"/>
          <a:ext cx="1128251" cy="10286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314325</xdr:colOff>
      <xdr:row>13</xdr:row>
      <xdr:rowOff>156481</xdr:rowOff>
    </xdr:from>
    <xdr:to>
      <xdr:col>0</xdr:col>
      <xdr:colOff>1581150</xdr:colOff>
      <xdr:row>16</xdr:row>
      <xdr:rowOff>247650</xdr:rowOff>
    </xdr:to>
    <xdr:pic>
      <xdr:nvPicPr>
        <xdr:cNvPr id="15" name="Picture 899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14325" y="4461781"/>
          <a:ext cx="1266825" cy="9769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639042</xdr:colOff>
      <xdr:row>40</xdr:row>
      <xdr:rowOff>58882</xdr:rowOff>
    </xdr:from>
    <xdr:to>
      <xdr:col>0</xdr:col>
      <xdr:colOff>1340393</xdr:colOff>
      <xdr:row>40</xdr:row>
      <xdr:rowOff>897082</xdr:rowOff>
    </xdr:to>
    <xdr:pic>
      <xdr:nvPicPr>
        <xdr:cNvPr id="1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39042" y="17775382"/>
          <a:ext cx="701351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647701</xdr:colOff>
      <xdr:row>42</xdr:row>
      <xdr:rowOff>95250</xdr:rowOff>
    </xdr:from>
    <xdr:to>
      <xdr:col>0</xdr:col>
      <xdr:colOff>1334169</xdr:colOff>
      <xdr:row>43</xdr:row>
      <xdr:rowOff>476250</xdr:rowOff>
    </xdr:to>
    <xdr:pic>
      <xdr:nvPicPr>
        <xdr:cNvPr id="1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47701" y="19469100"/>
          <a:ext cx="686468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58882</xdr:colOff>
      <xdr:row>30</xdr:row>
      <xdr:rowOff>228600</xdr:rowOff>
    </xdr:from>
    <xdr:to>
      <xdr:col>0</xdr:col>
      <xdr:colOff>1868632</xdr:colOff>
      <xdr:row>33</xdr:row>
      <xdr:rowOff>180975</xdr:rowOff>
    </xdr:to>
    <xdr:pic>
      <xdr:nvPicPr>
        <xdr:cNvPr id="1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58882" y="13182600"/>
          <a:ext cx="1809750" cy="8356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116033</xdr:colOff>
      <xdr:row>36</xdr:row>
      <xdr:rowOff>327318</xdr:rowOff>
    </xdr:from>
    <xdr:to>
      <xdr:col>0</xdr:col>
      <xdr:colOff>1830533</xdr:colOff>
      <xdr:row>37</xdr:row>
      <xdr:rowOff>780519</xdr:rowOff>
    </xdr:to>
    <xdr:pic>
      <xdr:nvPicPr>
        <xdr:cNvPr id="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16033" y="15342182"/>
          <a:ext cx="1714500" cy="9034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209551</xdr:colOff>
      <xdr:row>44</xdr:row>
      <xdr:rowOff>199158</xdr:rowOff>
    </xdr:from>
    <xdr:to>
      <xdr:col>0</xdr:col>
      <xdr:colOff>1767438</xdr:colOff>
      <xdr:row>45</xdr:row>
      <xdr:rowOff>742083</xdr:rowOff>
    </xdr:to>
    <xdr:pic>
      <xdr:nvPicPr>
        <xdr:cNvPr id="2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09551" y="20911703"/>
          <a:ext cx="1557887" cy="837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34925</xdr:colOff>
      <xdr:row>11</xdr:row>
      <xdr:rowOff>4620</xdr:rowOff>
    </xdr:from>
    <xdr:to>
      <xdr:col>20</xdr:col>
      <xdr:colOff>1035050</xdr:colOff>
      <xdr:row>27</xdr:row>
      <xdr:rowOff>277092</xdr:rowOff>
    </xdr:to>
    <xdr:grpSp>
      <xdr:nvGrpSpPr>
        <xdr:cNvPr id="27" name="Группа 7"/>
        <xdr:cNvGrpSpPr>
          <a:grpSpLocks/>
        </xdr:cNvGrpSpPr>
      </xdr:nvGrpSpPr>
      <xdr:grpSpPr bwMode="auto">
        <a:xfrm>
          <a:off x="20709944" y="2083791"/>
          <a:ext cx="3850278" cy="8568747"/>
          <a:chOff x="30956250" y="18161000"/>
          <a:chExt cx="8255000" cy="14564689"/>
        </a:xfrm>
      </xdr:grpSpPr>
      <xdr:sp macro="" textlink="">
        <xdr:nvSpPr>
          <xdr:cNvPr id="28" name="TextBox 5"/>
          <xdr:cNvSpPr txBox="1">
            <a:spLocks noChangeArrowheads="1"/>
          </xdr:cNvSpPr>
        </xdr:nvSpPr>
        <xdr:spPr bwMode="auto">
          <a:xfrm>
            <a:off x="30956250" y="18161000"/>
            <a:ext cx="8255000" cy="14564689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rgbClr val="000000">
                <a:alpha val="59999"/>
              </a:srgbClr>
            </a:outerShdw>
          </a:effectLst>
        </xdr:spPr>
        <xdr:txBody>
          <a:bodyPr vertOverflow="clip" wrap="square" lIns="27432" tIns="0" rIns="0" bIns="22860" anchor="t" upright="1"/>
          <a:lstStyle/>
          <a:p>
            <a:pPr algn="ctr" rtl="0">
              <a:defRPr sz="1000"/>
            </a:pPr>
            <a:endParaRPr lang="en-US" sz="28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3600" b="1" i="0" u="none" strike="noStrike" baseline="0">
              <a:solidFill>
                <a:srgbClr val="000000"/>
              </a:solidFill>
              <a:latin typeface="Arial" pitchFamily="34" charset="0"/>
              <a:cs typeface="Arial" pitchFamily="34" charset="0"/>
            </a:endParaRPr>
          </a:p>
          <a:p>
            <a:pPr algn="ctr" rtl="0">
              <a:defRPr sz="1000"/>
            </a:pPr>
            <a:endParaRPr lang="ru-RU" sz="1400" b="1" baseline="0" smtClean="0">
              <a:latin typeface="Arial" pitchFamily="34" charset="0"/>
              <a:ea typeface="+mn-ea"/>
              <a:cs typeface="Arial" pitchFamily="34" charset="0"/>
            </a:endParaRPr>
          </a:p>
          <a:p>
            <a:pPr algn="ctr" rtl="0">
              <a:defRPr sz="1000"/>
            </a:pPr>
            <a:r>
              <a:rPr lang="ru-RU" sz="1800" b="1" baseline="0" smtClean="0">
                <a:latin typeface="Arial" pitchFamily="34" charset="0"/>
                <a:ea typeface="+mn-ea"/>
                <a:cs typeface="Arial" pitchFamily="34" charset="0"/>
              </a:rPr>
              <a:t>Мотобур "</a:t>
            </a:r>
            <a:r>
              <a:rPr lang="en-US" sz="1800" b="1" baseline="0" smtClean="0">
                <a:latin typeface="Arial" pitchFamily="34" charset="0"/>
                <a:ea typeface="+mn-ea"/>
                <a:cs typeface="Arial" pitchFamily="34" charset="0"/>
              </a:rPr>
              <a:t>ADA Instruments"</a:t>
            </a:r>
            <a:endParaRPr lang="ru-RU" sz="1800" b="1" i="0" u="none" strike="noStrike" baseline="0">
              <a:solidFill>
                <a:srgbClr val="000000"/>
              </a:solidFill>
              <a:latin typeface="Arial" pitchFamily="34" charset="0"/>
              <a:cs typeface="Arial" pitchFamily="34" charset="0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en-US" sz="11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/>
            </a:r>
            <a:br>
              <a:rPr lang="en-US" sz="11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</a:b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endParaRPr lang="ru-RU" sz="11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rtl="0" fontAlgn="base"/>
            <a:endParaRPr lang="ru-RU" sz="1100" b="1" baseline="0">
              <a:latin typeface="Arial" pitchFamily="34" charset="0"/>
              <a:ea typeface="+mn-ea"/>
              <a:cs typeface="Arial" pitchFamily="34" charset="0"/>
            </a:endParaRPr>
          </a:p>
          <a:p>
            <a:pPr rtl="0" fontAlgn="base"/>
            <a:endParaRPr lang="ru-RU" sz="1100" b="1" baseline="0">
              <a:latin typeface="Arial" pitchFamily="34" charset="0"/>
              <a:ea typeface="+mn-ea"/>
              <a:cs typeface="Arial" pitchFamily="34" charset="0"/>
            </a:endParaRPr>
          </a:p>
          <a:p>
            <a:pPr rtl="0" fontAlgn="base"/>
            <a:endParaRPr lang="ru-RU" sz="1100" b="1" baseline="0">
              <a:latin typeface="Arial" pitchFamily="34" charset="0"/>
              <a:ea typeface="+mn-ea"/>
              <a:cs typeface="Arial" pitchFamily="34" charset="0"/>
            </a:endParaRPr>
          </a:p>
          <a:p>
            <a:pPr rtl="0" fontAlgn="base"/>
            <a:endParaRPr lang="ru-RU" sz="1100" b="1" baseline="0">
              <a:latin typeface="Arial" pitchFamily="34" charset="0"/>
              <a:ea typeface="+mn-ea"/>
              <a:cs typeface="Arial" pitchFamily="34" charset="0"/>
            </a:endParaRPr>
          </a:p>
          <a:p>
            <a:pPr rtl="0" fontAlgn="base"/>
            <a:endParaRPr lang="ru-RU" sz="1100" b="1" baseline="0">
              <a:latin typeface="Arial" pitchFamily="34" charset="0"/>
              <a:ea typeface="+mn-ea"/>
              <a:cs typeface="Arial" pitchFamily="34" charset="0"/>
            </a:endParaRPr>
          </a:p>
          <a:p>
            <a:pPr rtl="0" fontAlgn="base"/>
            <a:endParaRPr lang="ru-RU" sz="1100" b="1" baseline="0">
              <a:latin typeface="Arial" pitchFamily="34" charset="0"/>
              <a:ea typeface="+mn-ea"/>
              <a:cs typeface="Arial" pitchFamily="34" charset="0"/>
            </a:endParaRPr>
          </a:p>
          <a:p>
            <a:pPr rtl="0" fontAlgn="base"/>
            <a:endParaRPr lang="ru-RU" sz="1100" b="1" baseline="0">
              <a:latin typeface="Arial" pitchFamily="34" charset="0"/>
              <a:ea typeface="+mn-ea"/>
              <a:cs typeface="Arial" pitchFamily="34" charset="0"/>
            </a:endParaRPr>
          </a:p>
          <a:p>
            <a:pPr rtl="0" fontAlgn="base"/>
            <a:endParaRPr lang="ru-RU" sz="1100" b="1" baseline="0">
              <a:latin typeface="Arial" pitchFamily="34" charset="0"/>
              <a:ea typeface="+mn-ea"/>
              <a:cs typeface="Arial" pitchFamily="34" charset="0"/>
            </a:endParaRPr>
          </a:p>
          <a:p>
            <a:pPr rtl="0" fontAlgn="base"/>
            <a:endParaRPr lang="ru-RU" sz="1100" b="1" baseline="0">
              <a:latin typeface="Arial" pitchFamily="34" charset="0"/>
              <a:ea typeface="+mn-ea"/>
              <a:cs typeface="Arial" pitchFamily="34" charset="0"/>
            </a:endParaRPr>
          </a:p>
          <a:p>
            <a:pPr algn="l" rtl="0" fontAlgn="base"/>
            <a:r>
              <a:rPr lang="ru-RU" sz="1800" b="1" i="0" u="none" strike="noStrike" baseline="0">
                <a:solidFill>
                  <a:srgbClr val="000000"/>
                </a:solidFill>
                <a:latin typeface="Arial"/>
                <a:ea typeface="+mn-ea"/>
                <a:cs typeface="Arial"/>
              </a:rPr>
              <a:t>Мотобур "</a:t>
            </a:r>
            <a:r>
              <a:rPr lang="en-US" sz="1800" b="1" i="0" u="none" strike="noStrike" baseline="0">
                <a:solidFill>
                  <a:srgbClr val="000000"/>
                </a:solidFill>
                <a:latin typeface="Arial"/>
                <a:ea typeface="+mn-ea"/>
                <a:cs typeface="Arial"/>
              </a:rPr>
              <a:t>ADA Instruments"</a:t>
            </a:r>
            <a:r>
              <a:rPr lang="ru-RU" sz="1800" b="1" i="0" u="none" strike="noStrike" baseline="0">
                <a:solidFill>
                  <a:srgbClr val="000000"/>
                </a:solidFill>
                <a:latin typeface="Arial"/>
                <a:ea typeface="+mn-ea"/>
                <a:cs typeface="Arial"/>
              </a:rPr>
              <a:t> применяется для создания скважин  различного диаметра для монтажа столбов. Мотобур прост в эксплуатации, безопасен в управлении и не требует навыков в работе.</a:t>
            </a:r>
          </a:p>
          <a:p>
            <a:pPr algn="l" rtl="0" fontAlgn="base"/>
            <a:endParaRPr lang="ru-RU" sz="1400" b="1" i="0" u="none" strike="noStrike" baseline="0">
              <a:solidFill>
                <a:srgbClr val="000000"/>
              </a:solidFill>
              <a:latin typeface="Arial"/>
              <a:ea typeface="+mn-ea"/>
              <a:cs typeface="Arial"/>
            </a:endParaRPr>
          </a:p>
        </xdr:txBody>
      </xdr:sp>
      <xdr:sp macro="" textlink="">
        <xdr:nvSpPr>
          <xdr:cNvPr id="29" name="TextBox 7"/>
          <xdr:cNvSpPr txBox="1">
            <a:spLocks noChangeArrowheads="1"/>
          </xdr:cNvSpPr>
        </xdr:nvSpPr>
        <xdr:spPr bwMode="auto">
          <a:xfrm>
            <a:off x="30956250" y="18201040"/>
            <a:ext cx="8189310" cy="1728015"/>
          </a:xfrm>
          <a:prstGeom prst="rect">
            <a:avLst/>
          </a:prstGeom>
          <a:solidFill>
            <a:srgbClr val="C00000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16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Профессиональный инструмент </a:t>
            </a:r>
            <a:br>
              <a:rPr lang="ru-RU" sz="16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</a:br>
            <a:r>
              <a:rPr lang="en-US" sz="16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Grand Line</a:t>
            </a:r>
          </a:p>
        </xdr:txBody>
      </xdr:sp>
    </xdr:grpSp>
    <xdr:clientData/>
  </xdr:twoCellAnchor>
  <xdr:twoCellAnchor editAs="oneCell">
    <xdr:from>
      <xdr:col>17</xdr:col>
      <xdr:colOff>46471</xdr:colOff>
      <xdr:row>12</xdr:row>
      <xdr:rowOff>133925</xdr:rowOff>
    </xdr:from>
    <xdr:to>
      <xdr:col>20</xdr:col>
      <xdr:colOff>646546</xdr:colOff>
      <xdr:row>23</xdr:row>
      <xdr:rowOff>516369</xdr:rowOff>
    </xdr:to>
    <xdr:pic>
      <xdr:nvPicPr>
        <xdr:cNvPr id="30" name="Рисунок 36" descr="Безымянный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9529426" y="4255652"/>
          <a:ext cx="2799484" cy="4434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21</xdr:colOff>
      <xdr:row>0</xdr:row>
      <xdr:rowOff>7</xdr:rowOff>
    </xdr:from>
    <xdr:to>
      <xdr:col>3</xdr:col>
      <xdr:colOff>1158654</xdr:colOff>
      <xdr:row>9</xdr:row>
      <xdr:rowOff>51953</xdr:rowOff>
    </xdr:to>
    <xdr:pic>
      <xdr:nvPicPr>
        <xdr:cNvPr id="3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21" y="7"/>
          <a:ext cx="6596542" cy="1437401"/>
        </a:xfrm>
        <a:prstGeom prst="rect">
          <a:avLst/>
        </a:prstGeom>
        <a:noFill/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857250</xdr:colOff>
      <xdr:row>27</xdr:row>
      <xdr:rowOff>76200</xdr:rowOff>
    </xdr:from>
    <xdr:to>
      <xdr:col>0</xdr:col>
      <xdr:colOff>2066925</xdr:colOff>
      <xdr:row>27</xdr:row>
      <xdr:rowOff>838200</xdr:rowOff>
    </xdr:to>
    <xdr:pic>
      <xdr:nvPicPr>
        <xdr:cNvPr id="4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57250" y="16773525"/>
          <a:ext cx="12096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171451</xdr:colOff>
      <xdr:row>14</xdr:row>
      <xdr:rowOff>166685</xdr:rowOff>
    </xdr:from>
    <xdr:to>
      <xdr:col>0</xdr:col>
      <xdr:colOff>2838896</xdr:colOff>
      <xdr:row>20</xdr:row>
      <xdr:rowOff>523872</xdr:rowOff>
    </xdr:to>
    <xdr:pic>
      <xdr:nvPicPr>
        <xdr:cNvPr id="5" name="Picture 18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b="11363"/>
        <a:stretch>
          <a:fillRect/>
        </a:stretch>
      </xdr:blipFill>
      <xdr:spPr bwMode="auto">
        <a:xfrm>
          <a:off x="171451" y="7048498"/>
          <a:ext cx="2667445" cy="5881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828676</xdr:colOff>
      <xdr:row>39</xdr:row>
      <xdr:rowOff>476251</xdr:rowOff>
    </xdr:from>
    <xdr:to>
      <xdr:col>3</xdr:col>
      <xdr:colOff>1417647</xdr:colOff>
      <xdr:row>44</xdr:row>
      <xdr:rowOff>112839</xdr:rowOff>
    </xdr:to>
    <xdr:pic>
      <xdr:nvPicPr>
        <xdr:cNvPr id="6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5948364" y="28575001"/>
          <a:ext cx="1898658" cy="24464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1952625</xdr:colOff>
      <xdr:row>42</xdr:row>
      <xdr:rowOff>357189</xdr:rowOff>
    </xdr:from>
    <xdr:to>
      <xdr:col>2</xdr:col>
      <xdr:colOff>426512</xdr:colOff>
      <xdr:row>44</xdr:row>
      <xdr:rowOff>39317</xdr:rowOff>
    </xdr:to>
    <xdr:pic>
      <xdr:nvPicPr>
        <xdr:cNvPr id="7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952625" y="32027814"/>
          <a:ext cx="3593575" cy="13013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23812</xdr:colOff>
      <xdr:row>39</xdr:row>
      <xdr:rowOff>71435</xdr:rowOff>
    </xdr:from>
    <xdr:to>
      <xdr:col>1</xdr:col>
      <xdr:colOff>1262062</xdr:colOff>
      <xdr:row>42</xdr:row>
      <xdr:rowOff>226155</xdr:rowOff>
    </xdr:to>
    <xdr:pic>
      <xdr:nvPicPr>
        <xdr:cNvPr id="8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3812" y="30551435"/>
          <a:ext cx="4262438" cy="13453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85725</xdr:colOff>
      <xdr:row>10</xdr:row>
      <xdr:rowOff>129185</xdr:rowOff>
    </xdr:from>
    <xdr:to>
      <xdr:col>0</xdr:col>
      <xdr:colOff>2933700</xdr:colOff>
      <xdr:row>11</xdr:row>
      <xdr:rowOff>838200</xdr:rowOff>
    </xdr:to>
    <xdr:pic>
      <xdr:nvPicPr>
        <xdr:cNvPr id="9" name="Picture 10" descr="уличное ограждение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85725" y="3605810"/>
          <a:ext cx="2847975" cy="1794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1100140</xdr:colOff>
      <xdr:row>21</xdr:row>
      <xdr:rowOff>80964</xdr:rowOff>
    </xdr:from>
    <xdr:to>
      <xdr:col>0</xdr:col>
      <xdr:colOff>1580290</xdr:colOff>
      <xdr:row>21</xdr:row>
      <xdr:rowOff>747713</xdr:rowOff>
    </xdr:to>
    <xdr:pic>
      <xdr:nvPicPr>
        <xdr:cNvPr id="11" name="Рисунок 10" descr="крепление рулонной сетки на 51й столб_00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00140" y="13249277"/>
          <a:ext cx="480150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46</xdr:row>
      <xdr:rowOff>80712</xdr:rowOff>
    </xdr:from>
    <xdr:to>
      <xdr:col>1</xdr:col>
      <xdr:colOff>785812</xdr:colOff>
      <xdr:row>47</xdr:row>
      <xdr:rowOff>290532</xdr:rowOff>
    </xdr:to>
    <xdr:pic>
      <xdr:nvPicPr>
        <xdr:cNvPr id="12" name="Рисунок 11" descr="штакетник полукруглый - размеры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42900" y="31846587"/>
          <a:ext cx="3467100" cy="1376634"/>
        </a:xfrm>
        <a:prstGeom prst="rect">
          <a:avLst/>
        </a:prstGeom>
      </xdr:spPr>
    </xdr:pic>
    <xdr:clientData/>
  </xdr:twoCellAnchor>
  <xdr:twoCellAnchor editAs="oneCell">
    <xdr:from>
      <xdr:col>0</xdr:col>
      <xdr:colOff>1585911</xdr:colOff>
      <xdr:row>48</xdr:row>
      <xdr:rowOff>4763</xdr:rowOff>
    </xdr:from>
    <xdr:to>
      <xdr:col>2</xdr:col>
      <xdr:colOff>231150</xdr:colOff>
      <xdr:row>49</xdr:row>
      <xdr:rowOff>309566</xdr:rowOff>
    </xdr:to>
    <xdr:pic>
      <xdr:nvPicPr>
        <xdr:cNvPr id="13" name="Рисунок 12" descr="штакетник прямоугольный - размеры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585911" y="34032826"/>
          <a:ext cx="3764927" cy="1423988"/>
        </a:xfrm>
        <a:prstGeom prst="rect">
          <a:avLst/>
        </a:prstGeom>
      </xdr:spPr>
    </xdr:pic>
    <xdr:clientData/>
  </xdr:twoCellAnchor>
  <xdr:twoCellAnchor editAs="oneCell">
    <xdr:from>
      <xdr:col>2</xdr:col>
      <xdr:colOff>661991</xdr:colOff>
      <xdr:row>47</xdr:row>
      <xdr:rowOff>23812</xdr:rowOff>
    </xdr:from>
    <xdr:to>
      <xdr:col>3</xdr:col>
      <xdr:colOff>1513390</xdr:colOff>
      <xdr:row>49</xdr:row>
      <xdr:rowOff>285766</xdr:rowOff>
    </xdr:to>
    <xdr:pic>
      <xdr:nvPicPr>
        <xdr:cNvPr id="14" name="Рисунок 13" descr="Штакетник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781679" y="32956500"/>
          <a:ext cx="2161086" cy="247651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571501</xdr:colOff>
      <xdr:row>22</xdr:row>
      <xdr:rowOff>62335</xdr:rowOff>
    </xdr:from>
    <xdr:to>
      <xdr:col>0</xdr:col>
      <xdr:colOff>2190751</xdr:colOff>
      <xdr:row>22</xdr:row>
      <xdr:rowOff>852485</xdr:rowOff>
    </xdr:to>
    <xdr:pic>
      <xdr:nvPicPr>
        <xdr:cNvPr id="409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571501" y="14064085"/>
          <a:ext cx="1619250" cy="790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1912763</xdr:colOff>
      <xdr:row>7</xdr:row>
      <xdr:rowOff>95250</xdr:rowOff>
    </xdr:to>
    <xdr:pic>
      <xdr:nvPicPr>
        <xdr:cNvPr id="1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0"/>
          <a:ext cx="8305338" cy="18097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785812</xdr:colOff>
      <xdr:row>25</xdr:row>
      <xdr:rowOff>98955</xdr:rowOff>
    </xdr:from>
    <xdr:to>
      <xdr:col>0</xdr:col>
      <xdr:colOff>2166938</xdr:colOff>
      <xdr:row>25</xdr:row>
      <xdr:rowOff>1881187</xdr:rowOff>
    </xdr:to>
    <xdr:pic>
      <xdr:nvPicPr>
        <xdr:cNvPr id="19" name="Рисунок 18" descr="ВрО1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85812" y="16410518"/>
          <a:ext cx="1381126" cy="1782232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14</xdr:row>
      <xdr:rowOff>95249</xdr:rowOff>
    </xdr:from>
    <xdr:to>
      <xdr:col>0</xdr:col>
      <xdr:colOff>4643843</xdr:colOff>
      <xdr:row>15</xdr:row>
      <xdr:rowOff>1476374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3350" y="9753599"/>
          <a:ext cx="4510493" cy="30194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85725</xdr:colOff>
      <xdr:row>10</xdr:row>
      <xdr:rowOff>171453</xdr:rowOff>
    </xdr:from>
    <xdr:to>
      <xdr:col>0</xdr:col>
      <xdr:colOff>4595813</xdr:colOff>
      <xdr:row>10</xdr:row>
      <xdr:rowOff>3452813</xdr:rowOff>
    </xdr:to>
    <xdr:pic>
      <xdr:nvPicPr>
        <xdr:cNvPr id="3" name="Picture 5" descr="Откатные на фауресике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5725" y="4610103"/>
          <a:ext cx="4510088" cy="3281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142875</xdr:colOff>
      <xdr:row>22</xdr:row>
      <xdr:rowOff>590550</xdr:rowOff>
    </xdr:from>
    <xdr:to>
      <xdr:col>1</xdr:col>
      <xdr:colOff>1019175</xdr:colOff>
      <xdr:row>25</xdr:row>
      <xdr:rowOff>352425</xdr:rowOff>
    </xdr:to>
    <xdr:pic>
      <xdr:nvPicPr>
        <xdr:cNvPr id="5" name="Afbeelding 1088" descr="LSKZ U2.pn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857750" y="21364575"/>
          <a:ext cx="876300" cy="1181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1209675</xdr:colOff>
      <xdr:row>22</xdr:row>
      <xdr:rowOff>1314450</xdr:rowOff>
    </xdr:from>
    <xdr:to>
      <xdr:col>1</xdr:col>
      <xdr:colOff>1638300</xdr:colOff>
      <xdr:row>26</xdr:row>
      <xdr:rowOff>19050</xdr:rowOff>
    </xdr:to>
    <xdr:pic>
      <xdr:nvPicPr>
        <xdr:cNvPr id="6" name="Afbeelding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5924550" y="21364575"/>
          <a:ext cx="42862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1790700</xdr:colOff>
      <xdr:row>24</xdr:row>
      <xdr:rowOff>161925</xdr:rowOff>
    </xdr:from>
    <xdr:to>
      <xdr:col>1</xdr:col>
      <xdr:colOff>2295525</xdr:colOff>
      <xdr:row>27</xdr:row>
      <xdr:rowOff>161925</xdr:rowOff>
    </xdr:to>
    <xdr:pic>
      <xdr:nvPicPr>
        <xdr:cNvPr id="7" name="Afbeelding 1386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505575" y="21945600"/>
          <a:ext cx="50482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81923</xdr:colOff>
      <xdr:row>6</xdr:row>
      <xdr:rowOff>95249</xdr:rowOff>
    </xdr:to>
    <xdr:pic>
      <xdr:nvPicPr>
        <xdr:cNvPr id="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0"/>
          <a:ext cx="9725986" cy="2119312"/>
        </a:xfrm>
        <a:prstGeom prst="rect">
          <a:avLst/>
        </a:prstGeom>
        <a:noFill/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333375</xdr:colOff>
          <xdr:row>4</xdr:row>
          <xdr:rowOff>123825</xdr:rowOff>
        </xdr:from>
        <xdr:to>
          <xdr:col>5</xdr:col>
          <xdr:colOff>390525</xdr:colOff>
          <xdr:row>4</xdr:row>
          <xdr:rowOff>190500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1295400</xdr:colOff>
          <xdr:row>4</xdr:row>
          <xdr:rowOff>123825</xdr:rowOff>
        </xdr:from>
        <xdr:to>
          <xdr:col>7</xdr:col>
          <xdr:colOff>1295400</xdr:colOff>
          <xdr:row>4</xdr:row>
          <xdr:rowOff>190500</xdr:rowOff>
        </xdr:to>
        <xdr:sp macro="" textlink="">
          <xdr:nvSpPr>
            <xdr:cNvPr id="2050" name="Object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1752600</xdr:colOff>
      <xdr:row>32</xdr:row>
      <xdr:rowOff>42862</xdr:rowOff>
    </xdr:from>
    <xdr:to>
      <xdr:col>0</xdr:col>
      <xdr:colOff>2428875</xdr:colOff>
      <xdr:row>33</xdr:row>
      <xdr:rowOff>619788</xdr:rowOff>
    </xdr:to>
    <xdr:pic>
      <xdr:nvPicPr>
        <xdr:cNvPr id="4" name="Picture 300" descr="00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752600" y="14497050"/>
          <a:ext cx="676275" cy="12198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104775</xdr:colOff>
      <xdr:row>9</xdr:row>
      <xdr:rowOff>95250</xdr:rowOff>
    </xdr:from>
    <xdr:to>
      <xdr:col>0</xdr:col>
      <xdr:colOff>4214813</xdr:colOff>
      <xdr:row>13</xdr:row>
      <xdr:rowOff>484736</xdr:rowOff>
    </xdr:to>
    <xdr:pic>
      <xdr:nvPicPr>
        <xdr:cNvPr id="5" name="Picture 1" descr="калитки copy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04775" y="3000375"/>
          <a:ext cx="4110038" cy="34374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309564</xdr:colOff>
      <xdr:row>16</xdr:row>
      <xdr:rowOff>76202</xdr:rowOff>
    </xdr:from>
    <xdr:to>
      <xdr:col>0</xdr:col>
      <xdr:colOff>4005791</xdr:colOff>
      <xdr:row>19</xdr:row>
      <xdr:rowOff>595314</xdr:rowOff>
    </xdr:to>
    <xdr:pic>
      <xdr:nvPicPr>
        <xdr:cNvPr id="6" name="Picture 2" descr="Ворота copy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09564" y="7434265"/>
          <a:ext cx="3696227" cy="26146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1647825</xdr:colOff>
      <xdr:row>61</xdr:row>
      <xdr:rowOff>33336</xdr:rowOff>
    </xdr:from>
    <xdr:to>
      <xdr:col>0</xdr:col>
      <xdr:colOff>2352675</xdr:colOff>
      <xdr:row>61</xdr:row>
      <xdr:rowOff>904873</xdr:rowOff>
    </xdr:to>
    <xdr:pic>
      <xdr:nvPicPr>
        <xdr:cNvPr id="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647825" y="31275336"/>
          <a:ext cx="704850" cy="871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1152526</xdr:colOff>
      <xdr:row>62</xdr:row>
      <xdr:rowOff>85724</xdr:rowOff>
    </xdr:from>
    <xdr:to>
      <xdr:col>0</xdr:col>
      <xdr:colOff>2800351</xdr:colOff>
      <xdr:row>62</xdr:row>
      <xdr:rowOff>781049</xdr:rowOff>
    </xdr:to>
    <xdr:pic>
      <xdr:nvPicPr>
        <xdr:cNvPr id="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152526" y="32304037"/>
          <a:ext cx="16478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1100138</xdr:colOff>
      <xdr:row>38</xdr:row>
      <xdr:rowOff>95252</xdr:rowOff>
    </xdr:from>
    <xdr:to>
      <xdr:col>0</xdr:col>
      <xdr:colOff>2928938</xdr:colOff>
      <xdr:row>39</xdr:row>
      <xdr:rowOff>678985</xdr:rowOff>
    </xdr:to>
    <xdr:pic>
      <xdr:nvPicPr>
        <xdr:cNvPr id="1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100138" y="18288002"/>
          <a:ext cx="1828800" cy="964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881064</xdr:colOff>
      <xdr:row>36</xdr:row>
      <xdr:rowOff>76202</xdr:rowOff>
    </xdr:from>
    <xdr:to>
      <xdr:col>0</xdr:col>
      <xdr:colOff>3214689</xdr:colOff>
      <xdr:row>37</xdr:row>
      <xdr:rowOff>531145</xdr:rowOff>
    </xdr:to>
    <xdr:pic>
      <xdr:nvPicPr>
        <xdr:cNvPr id="1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881064" y="17078327"/>
          <a:ext cx="2333625" cy="10264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1714501</xdr:colOff>
      <xdr:row>34</xdr:row>
      <xdr:rowOff>71439</xdr:rowOff>
    </xdr:from>
    <xdr:to>
      <xdr:col>0</xdr:col>
      <xdr:colOff>2352938</xdr:colOff>
      <xdr:row>35</xdr:row>
      <xdr:rowOff>523877</xdr:rowOff>
    </xdr:to>
    <xdr:pic>
      <xdr:nvPicPr>
        <xdr:cNvPr id="1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714501" y="15835314"/>
          <a:ext cx="638437" cy="1119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514350</xdr:colOff>
      <xdr:row>53</xdr:row>
      <xdr:rowOff>76199</xdr:rowOff>
    </xdr:from>
    <xdr:to>
      <xdr:col>0</xdr:col>
      <xdr:colOff>3829050</xdr:colOff>
      <xdr:row>55</xdr:row>
      <xdr:rowOff>687586</xdr:rowOff>
    </xdr:to>
    <xdr:pic>
      <xdr:nvPicPr>
        <xdr:cNvPr id="15" name="Рисунок 14" descr="Ворота панельные Grand Line Medium_00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14350" y="25412699"/>
          <a:ext cx="3314700" cy="191631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1333500</xdr:colOff>
      <xdr:row>46</xdr:row>
      <xdr:rowOff>38100</xdr:rowOff>
    </xdr:from>
    <xdr:to>
      <xdr:col>0</xdr:col>
      <xdr:colOff>2647950</xdr:colOff>
      <xdr:row>48</xdr:row>
      <xdr:rowOff>702651</xdr:rowOff>
    </xdr:to>
    <xdr:pic>
      <xdr:nvPicPr>
        <xdr:cNvPr id="16" name="Рисунок 15" descr="07 копия - копия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333500" y="21831300"/>
          <a:ext cx="1314450" cy="19694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797260</xdr:colOff>
      <xdr:row>6</xdr:row>
      <xdr:rowOff>57150</xdr:rowOff>
    </xdr:to>
    <xdr:pic>
      <xdr:nvPicPr>
        <xdr:cNvPr id="1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0"/>
          <a:ext cx="7693360" cy="16764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214312</xdr:colOff>
      <xdr:row>27</xdr:row>
      <xdr:rowOff>381000</xdr:rowOff>
    </xdr:from>
    <xdr:to>
      <xdr:col>0</xdr:col>
      <xdr:colOff>4151546</xdr:colOff>
      <xdr:row>27</xdr:row>
      <xdr:rowOff>2286000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14312" y="11930063"/>
          <a:ext cx="3937234" cy="1905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1071561</xdr:colOff>
      <xdr:row>28</xdr:row>
      <xdr:rowOff>68145</xdr:rowOff>
    </xdr:from>
    <xdr:to>
      <xdr:col>0</xdr:col>
      <xdr:colOff>3024187</xdr:colOff>
      <xdr:row>28</xdr:row>
      <xdr:rowOff>1063709</xdr:rowOff>
    </xdr:to>
    <xdr:pic>
      <xdr:nvPicPr>
        <xdr:cNvPr id="18" name="Рисунок 17" descr="проушины для навесного замка_01.pn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71561" y="13522208"/>
          <a:ext cx="1952626" cy="995564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4</xdr:row>
      <xdr:rowOff>38100</xdr:rowOff>
    </xdr:from>
    <xdr:to>
      <xdr:col>3</xdr:col>
      <xdr:colOff>0</xdr:colOff>
      <xdr:row>4</xdr:row>
      <xdr:rowOff>314325</xdr:rowOff>
    </xdr:to>
    <xdr:sp macro="" textlink="">
      <xdr:nvSpPr>
        <xdr:cNvPr id="2" name="Rectangle 1109"/>
        <xdr:cNvSpPr>
          <a:spLocks noChangeArrowheads="1"/>
        </xdr:cNvSpPr>
      </xdr:nvSpPr>
      <xdr:spPr bwMode="auto">
        <a:xfrm>
          <a:off x="9344025" y="3533775"/>
          <a:ext cx="0" cy="276225"/>
        </a:xfrm>
        <a:prstGeom prst="rect">
          <a:avLst/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4</xdr:row>
      <xdr:rowOff>57150</xdr:rowOff>
    </xdr:from>
    <xdr:to>
      <xdr:col>3</xdr:col>
      <xdr:colOff>0</xdr:colOff>
      <xdr:row>4</xdr:row>
      <xdr:rowOff>285750</xdr:rowOff>
    </xdr:to>
    <xdr:sp macro="" textlink="">
      <xdr:nvSpPr>
        <xdr:cNvPr id="3" name="Rectangle 1110"/>
        <xdr:cNvSpPr>
          <a:spLocks noChangeArrowheads="1"/>
        </xdr:cNvSpPr>
      </xdr:nvSpPr>
      <xdr:spPr bwMode="auto">
        <a:xfrm>
          <a:off x="9344025" y="3552825"/>
          <a:ext cx="0" cy="2286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4</xdr:row>
      <xdr:rowOff>76200</xdr:rowOff>
    </xdr:from>
    <xdr:to>
      <xdr:col>3</xdr:col>
      <xdr:colOff>0</xdr:colOff>
      <xdr:row>4</xdr:row>
      <xdr:rowOff>238125</xdr:rowOff>
    </xdr:to>
    <xdr:sp macro="" textlink="">
      <xdr:nvSpPr>
        <xdr:cNvPr id="4" name="Oval 1128"/>
        <xdr:cNvSpPr>
          <a:spLocks noChangeArrowheads="1"/>
        </xdr:cNvSpPr>
      </xdr:nvSpPr>
      <xdr:spPr bwMode="auto">
        <a:xfrm>
          <a:off x="9344025" y="3571875"/>
          <a:ext cx="0" cy="161925"/>
        </a:xfrm>
        <a:prstGeom prst="ellips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3</xdr:col>
      <xdr:colOff>0</xdr:colOff>
      <xdr:row>5</xdr:row>
      <xdr:rowOff>266700</xdr:rowOff>
    </xdr:from>
    <xdr:to>
      <xdr:col>3</xdr:col>
      <xdr:colOff>0</xdr:colOff>
      <xdr:row>7</xdr:row>
      <xdr:rowOff>133350</xdr:rowOff>
    </xdr:to>
    <xdr:sp macro="" textlink="">
      <xdr:nvSpPr>
        <xdr:cNvPr id="5" name="Rectangle 1110"/>
        <xdr:cNvSpPr>
          <a:spLocks noChangeArrowheads="1"/>
        </xdr:cNvSpPr>
      </xdr:nvSpPr>
      <xdr:spPr bwMode="auto">
        <a:xfrm>
          <a:off x="9344025" y="4095750"/>
          <a:ext cx="0" cy="5334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38</xdr:row>
      <xdr:rowOff>0</xdr:rowOff>
    </xdr:from>
    <xdr:to>
      <xdr:col>3</xdr:col>
      <xdr:colOff>0</xdr:colOff>
      <xdr:row>38</xdr:row>
      <xdr:rowOff>0</xdr:rowOff>
    </xdr:to>
    <xdr:sp macro="" textlink="">
      <xdr:nvSpPr>
        <xdr:cNvPr id="6" name="Rectangle 1110"/>
        <xdr:cNvSpPr>
          <a:spLocks noChangeArrowheads="1"/>
        </xdr:cNvSpPr>
      </xdr:nvSpPr>
      <xdr:spPr bwMode="auto">
        <a:xfrm>
          <a:off x="9344025" y="14573250"/>
          <a:ext cx="0" cy="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38</xdr:row>
      <xdr:rowOff>0</xdr:rowOff>
    </xdr:from>
    <xdr:to>
      <xdr:col>3</xdr:col>
      <xdr:colOff>0</xdr:colOff>
      <xdr:row>38</xdr:row>
      <xdr:rowOff>0</xdr:rowOff>
    </xdr:to>
    <xdr:sp macro="" textlink="">
      <xdr:nvSpPr>
        <xdr:cNvPr id="7" name="Rectangle 1110"/>
        <xdr:cNvSpPr>
          <a:spLocks noChangeArrowheads="1"/>
        </xdr:cNvSpPr>
      </xdr:nvSpPr>
      <xdr:spPr bwMode="auto">
        <a:xfrm>
          <a:off x="9344025" y="14573250"/>
          <a:ext cx="0" cy="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62</xdr:row>
      <xdr:rowOff>76200</xdr:rowOff>
    </xdr:from>
    <xdr:to>
      <xdr:col>3</xdr:col>
      <xdr:colOff>0</xdr:colOff>
      <xdr:row>62</xdr:row>
      <xdr:rowOff>952500</xdr:rowOff>
    </xdr:to>
    <xdr:sp macro="" textlink="">
      <xdr:nvSpPr>
        <xdr:cNvPr id="8" name="Rectangle 1109"/>
        <xdr:cNvSpPr>
          <a:spLocks noChangeArrowheads="1"/>
        </xdr:cNvSpPr>
      </xdr:nvSpPr>
      <xdr:spPr bwMode="auto">
        <a:xfrm>
          <a:off x="9344025" y="25841325"/>
          <a:ext cx="0" cy="876300"/>
        </a:xfrm>
        <a:prstGeom prst="rect">
          <a:avLst/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62</xdr:row>
      <xdr:rowOff>361950</xdr:rowOff>
    </xdr:from>
    <xdr:to>
      <xdr:col>3</xdr:col>
      <xdr:colOff>0</xdr:colOff>
      <xdr:row>62</xdr:row>
      <xdr:rowOff>733425</xdr:rowOff>
    </xdr:to>
    <xdr:sp macro="" textlink="">
      <xdr:nvSpPr>
        <xdr:cNvPr id="9" name="PIJL-LINKS en -RECHTS 702"/>
        <xdr:cNvSpPr>
          <a:spLocks noChangeArrowheads="1"/>
        </xdr:cNvSpPr>
      </xdr:nvSpPr>
      <xdr:spPr bwMode="auto">
        <a:xfrm>
          <a:off x="9344025" y="26127075"/>
          <a:ext cx="0" cy="371475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000000"/>
        </a:solidFill>
        <a:ln w="25400" algn="ctr">
          <a:noFill/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59</xdr:row>
      <xdr:rowOff>38100</xdr:rowOff>
    </xdr:from>
    <xdr:to>
      <xdr:col>3</xdr:col>
      <xdr:colOff>0</xdr:colOff>
      <xdr:row>59</xdr:row>
      <xdr:rowOff>704850</xdr:rowOff>
    </xdr:to>
    <xdr:sp macro="" textlink="">
      <xdr:nvSpPr>
        <xdr:cNvPr id="10" name="Rectangle 1109"/>
        <xdr:cNvSpPr>
          <a:spLocks noChangeArrowheads="1"/>
        </xdr:cNvSpPr>
      </xdr:nvSpPr>
      <xdr:spPr bwMode="auto">
        <a:xfrm>
          <a:off x="9344025" y="24669750"/>
          <a:ext cx="0" cy="600075"/>
        </a:xfrm>
        <a:prstGeom prst="rect">
          <a:avLst/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59</xdr:row>
      <xdr:rowOff>171450</xdr:rowOff>
    </xdr:from>
    <xdr:to>
      <xdr:col>3</xdr:col>
      <xdr:colOff>0</xdr:colOff>
      <xdr:row>59</xdr:row>
      <xdr:rowOff>581025</xdr:rowOff>
    </xdr:to>
    <xdr:sp macro="" textlink="">
      <xdr:nvSpPr>
        <xdr:cNvPr id="11" name="PIJL-LINKS en -RECHTS 721"/>
        <xdr:cNvSpPr>
          <a:spLocks noChangeArrowheads="1"/>
        </xdr:cNvSpPr>
      </xdr:nvSpPr>
      <xdr:spPr bwMode="auto">
        <a:xfrm>
          <a:off x="9344025" y="24803100"/>
          <a:ext cx="0" cy="409575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000000"/>
        </a:solidFill>
        <a:ln w="25400" algn="ctr">
          <a:noFill/>
          <a:miter lim="800000"/>
          <a:headEnd/>
          <a:tailEnd/>
        </a:ln>
      </xdr:spPr>
    </xdr:sp>
    <xdr:clientData/>
  </xdr:twoCellAnchor>
  <xdr:twoCellAnchor>
    <xdr:from>
      <xdr:col>6</xdr:col>
      <xdr:colOff>123266</xdr:colOff>
      <xdr:row>73</xdr:row>
      <xdr:rowOff>0</xdr:rowOff>
    </xdr:from>
    <xdr:to>
      <xdr:col>6</xdr:col>
      <xdr:colOff>414617</xdr:colOff>
      <xdr:row>73</xdr:row>
      <xdr:rowOff>0</xdr:rowOff>
    </xdr:to>
    <xdr:sp macro="" textlink="">
      <xdr:nvSpPr>
        <xdr:cNvPr id="12" name="PIJL-LINKS en -RECHTS 744"/>
        <xdr:cNvSpPr/>
      </xdr:nvSpPr>
      <xdr:spPr>
        <a:xfrm>
          <a:off x="13915466" y="36271200"/>
          <a:ext cx="291351" cy="0"/>
        </a:xfrm>
        <a:prstGeom prst="leftRightArrow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>
    <xdr:from>
      <xdr:col>3</xdr:col>
      <xdr:colOff>190500</xdr:colOff>
      <xdr:row>57</xdr:row>
      <xdr:rowOff>2931</xdr:rowOff>
    </xdr:from>
    <xdr:to>
      <xdr:col>3</xdr:col>
      <xdr:colOff>359019</xdr:colOff>
      <xdr:row>57</xdr:row>
      <xdr:rowOff>3254</xdr:rowOff>
    </xdr:to>
    <xdr:sp macro="" textlink="">
      <xdr:nvSpPr>
        <xdr:cNvPr id="13" name="PIJL-LINKS en -RECHTS 912"/>
        <xdr:cNvSpPr/>
      </xdr:nvSpPr>
      <xdr:spPr>
        <a:xfrm>
          <a:off x="9534525" y="23129631"/>
          <a:ext cx="168519" cy="323"/>
        </a:xfrm>
        <a:prstGeom prst="leftRightArrow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>
    <xdr:from>
      <xdr:col>3</xdr:col>
      <xdr:colOff>190500</xdr:colOff>
      <xdr:row>57</xdr:row>
      <xdr:rowOff>2931</xdr:rowOff>
    </xdr:from>
    <xdr:to>
      <xdr:col>3</xdr:col>
      <xdr:colOff>359019</xdr:colOff>
      <xdr:row>57</xdr:row>
      <xdr:rowOff>3254</xdr:rowOff>
    </xdr:to>
    <xdr:sp macro="" textlink="">
      <xdr:nvSpPr>
        <xdr:cNvPr id="14" name="PIJL-LINKS en -RECHTS 918"/>
        <xdr:cNvSpPr/>
      </xdr:nvSpPr>
      <xdr:spPr>
        <a:xfrm>
          <a:off x="9534525" y="23129631"/>
          <a:ext cx="168519" cy="323"/>
        </a:xfrm>
        <a:prstGeom prst="leftRightArrow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>
    <xdr:from>
      <xdr:col>4</xdr:col>
      <xdr:colOff>57150</xdr:colOff>
      <xdr:row>57</xdr:row>
      <xdr:rowOff>0</xdr:rowOff>
    </xdr:from>
    <xdr:to>
      <xdr:col>4</xdr:col>
      <xdr:colOff>266700</xdr:colOff>
      <xdr:row>57</xdr:row>
      <xdr:rowOff>0</xdr:rowOff>
    </xdr:to>
    <xdr:sp macro="" textlink="">
      <xdr:nvSpPr>
        <xdr:cNvPr id="15" name="PIJL-OMLAAG 931"/>
        <xdr:cNvSpPr>
          <a:spLocks noChangeArrowheads="1"/>
        </xdr:cNvSpPr>
      </xdr:nvSpPr>
      <xdr:spPr bwMode="auto">
        <a:xfrm>
          <a:off x="11553825" y="23126700"/>
          <a:ext cx="209550" cy="0"/>
        </a:xfrm>
        <a:prstGeom prst="downArrow">
          <a:avLst>
            <a:gd name="adj1" fmla="val 50000"/>
            <a:gd name="adj2" fmla="val -2147483648"/>
          </a:avLst>
        </a:prstGeom>
        <a:solidFill>
          <a:srgbClr val="000000"/>
        </a:solidFill>
        <a:ln w="25400" algn="ctr">
          <a:noFill/>
          <a:miter lim="800000"/>
          <a:headEnd/>
          <a:tailEnd/>
        </a:ln>
      </xdr:spPr>
    </xdr:sp>
    <xdr:clientData/>
  </xdr:twoCellAnchor>
  <xdr:twoCellAnchor>
    <xdr:from>
      <xdr:col>5</xdr:col>
      <xdr:colOff>47625</xdr:colOff>
      <xdr:row>56</xdr:row>
      <xdr:rowOff>57150</xdr:rowOff>
    </xdr:from>
    <xdr:to>
      <xdr:col>5</xdr:col>
      <xdr:colOff>285750</xdr:colOff>
      <xdr:row>56</xdr:row>
      <xdr:rowOff>666750</xdr:rowOff>
    </xdr:to>
    <xdr:sp macro="" textlink="">
      <xdr:nvSpPr>
        <xdr:cNvPr id="16" name="PIJL-LINKS en -RECHTS 932"/>
        <xdr:cNvSpPr>
          <a:spLocks noChangeArrowheads="1"/>
        </xdr:cNvSpPr>
      </xdr:nvSpPr>
      <xdr:spPr bwMode="auto">
        <a:xfrm rot="-5400000">
          <a:off x="12563475" y="22736175"/>
          <a:ext cx="542925" cy="238125"/>
        </a:xfrm>
        <a:prstGeom prst="leftRightArrow">
          <a:avLst>
            <a:gd name="adj1" fmla="val 50000"/>
            <a:gd name="adj2" fmla="val 43753"/>
          </a:avLst>
        </a:prstGeom>
        <a:solidFill>
          <a:srgbClr val="000000"/>
        </a:solidFill>
        <a:ln w="25400" algn="ctr">
          <a:noFill/>
          <a:miter lim="800000"/>
          <a:headEnd/>
          <a:tailEnd/>
        </a:ln>
      </xdr:spPr>
    </xdr:sp>
    <xdr:clientData/>
  </xdr:twoCellAnchor>
  <xdr:twoCellAnchor>
    <xdr:from>
      <xdr:col>5</xdr:col>
      <xdr:colOff>47625</xdr:colOff>
      <xdr:row>57</xdr:row>
      <xdr:rowOff>0</xdr:rowOff>
    </xdr:from>
    <xdr:to>
      <xdr:col>5</xdr:col>
      <xdr:colOff>285750</xdr:colOff>
      <xdr:row>57</xdr:row>
      <xdr:rowOff>0</xdr:rowOff>
    </xdr:to>
    <xdr:sp macro="" textlink="">
      <xdr:nvSpPr>
        <xdr:cNvPr id="17" name="PIJL-LINKS en -RECHTS 933"/>
        <xdr:cNvSpPr>
          <a:spLocks noChangeArrowheads="1"/>
        </xdr:cNvSpPr>
      </xdr:nvSpPr>
      <xdr:spPr bwMode="auto">
        <a:xfrm rot="-5400000">
          <a:off x="12834938" y="23007637"/>
          <a:ext cx="0" cy="238125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000000"/>
        </a:solidFill>
        <a:ln w="25400" algn="ctr">
          <a:noFill/>
          <a:miter lim="800000"/>
          <a:headEnd/>
          <a:tailEnd/>
        </a:ln>
      </xdr:spPr>
    </xdr:sp>
    <xdr:clientData/>
  </xdr:twoCellAnchor>
  <xdr:twoCellAnchor>
    <xdr:from>
      <xdr:col>3</xdr:col>
      <xdr:colOff>190500</xdr:colOff>
      <xdr:row>57</xdr:row>
      <xdr:rowOff>2931</xdr:rowOff>
    </xdr:from>
    <xdr:to>
      <xdr:col>3</xdr:col>
      <xdr:colOff>359019</xdr:colOff>
      <xdr:row>57</xdr:row>
      <xdr:rowOff>3254</xdr:rowOff>
    </xdr:to>
    <xdr:sp macro="" textlink="">
      <xdr:nvSpPr>
        <xdr:cNvPr id="18" name="PIJL-LINKS en -RECHTS 934"/>
        <xdr:cNvSpPr/>
      </xdr:nvSpPr>
      <xdr:spPr>
        <a:xfrm>
          <a:off x="9534525" y="23129631"/>
          <a:ext cx="168519" cy="323"/>
        </a:xfrm>
        <a:prstGeom prst="leftRightArrow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>
    <xdr:from>
      <xdr:col>5</xdr:col>
      <xdr:colOff>66675</xdr:colOff>
      <xdr:row>58</xdr:row>
      <xdr:rowOff>57150</xdr:rowOff>
    </xdr:from>
    <xdr:to>
      <xdr:col>5</xdr:col>
      <xdr:colOff>247650</xdr:colOff>
      <xdr:row>58</xdr:row>
      <xdr:rowOff>704850</xdr:rowOff>
    </xdr:to>
    <xdr:sp macro="" textlink="">
      <xdr:nvSpPr>
        <xdr:cNvPr id="19" name="PIJL-LINKS en -RECHTS 1006"/>
        <xdr:cNvSpPr>
          <a:spLocks noChangeArrowheads="1"/>
        </xdr:cNvSpPr>
      </xdr:nvSpPr>
      <xdr:spPr bwMode="auto">
        <a:xfrm rot="-5400000">
          <a:off x="12501563" y="24017287"/>
          <a:ext cx="647700" cy="180975"/>
        </a:xfrm>
        <a:prstGeom prst="leftRightArrow">
          <a:avLst>
            <a:gd name="adj1" fmla="val 50000"/>
            <a:gd name="adj2" fmla="val 49509"/>
          </a:avLst>
        </a:prstGeom>
        <a:solidFill>
          <a:srgbClr val="000000"/>
        </a:solidFill>
        <a:ln w="25400" algn="ctr">
          <a:noFill/>
          <a:miter lim="800000"/>
          <a:headEnd/>
          <a:tailEnd/>
        </a:ln>
      </xdr:spPr>
    </xdr:sp>
    <xdr:clientData/>
  </xdr:twoCellAnchor>
  <xdr:twoCellAnchor>
    <xdr:from>
      <xdr:col>5</xdr:col>
      <xdr:colOff>66675</xdr:colOff>
      <xdr:row>59</xdr:row>
      <xdr:rowOff>0</xdr:rowOff>
    </xdr:from>
    <xdr:to>
      <xdr:col>5</xdr:col>
      <xdr:colOff>247650</xdr:colOff>
      <xdr:row>59</xdr:row>
      <xdr:rowOff>0</xdr:rowOff>
    </xdr:to>
    <xdr:sp macro="" textlink="">
      <xdr:nvSpPr>
        <xdr:cNvPr id="20" name="PIJL-LINKS en -RECHTS 1007"/>
        <xdr:cNvSpPr>
          <a:spLocks noChangeArrowheads="1"/>
        </xdr:cNvSpPr>
      </xdr:nvSpPr>
      <xdr:spPr bwMode="auto">
        <a:xfrm rot="-5400000">
          <a:off x="12825413" y="24541162"/>
          <a:ext cx="0" cy="180975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000000"/>
        </a:solidFill>
        <a:ln w="25400" algn="ctr">
          <a:noFill/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58</xdr:row>
      <xdr:rowOff>400050</xdr:rowOff>
    </xdr:from>
    <xdr:to>
      <xdr:col>3</xdr:col>
      <xdr:colOff>0</xdr:colOff>
      <xdr:row>58</xdr:row>
      <xdr:rowOff>619125</xdr:rowOff>
    </xdr:to>
    <xdr:sp macro="" textlink="">
      <xdr:nvSpPr>
        <xdr:cNvPr id="21" name="PIJL-LINKS en -RECHTS 1008"/>
        <xdr:cNvSpPr>
          <a:spLocks noChangeArrowheads="1"/>
        </xdr:cNvSpPr>
      </xdr:nvSpPr>
      <xdr:spPr bwMode="auto">
        <a:xfrm>
          <a:off x="9344025" y="24126825"/>
          <a:ext cx="0" cy="219075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000000"/>
        </a:solidFill>
        <a:ln w="25400" algn="ctr">
          <a:noFill/>
          <a:miter lim="800000"/>
          <a:headEnd/>
          <a:tailEnd/>
        </a:ln>
      </xdr:spPr>
    </xdr:sp>
    <xdr:clientData/>
  </xdr:twoCellAnchor>
  <xdr:twoCellAnchor>
    <xdr:from>
      <xdr:col>8</xdr:col>
      <xdr:colOff>190500</xdr:colOff>
      <xdr:row>64</xdr:row>
      <xdr:rowOff>0</xdr:rowOff>
    </xdr:from>
    <xdr:to>
      <xdr:col>8</xdr:col>
      <xdr:colOff>359019</xdr:colOff>
      <xdr:row>64</xdr:row>
      <xdr:rowOff>0</xdr:rowOff>
    </xdr:to>
    <xdr:sp macro="" textlink="">
      <xdr:nvSpPr>
        <xdr:cNvPr id="25" name="PIJL-LINKS en -RECHTS 815"/>
        <xdr:cNvSpPr/>
      </xdr:nvSpPr>
      <xdr:spPr>
        <a:xfrm>
          <a:off x="15630525" y="27651075"/>
          <a:ext cx="168519" cy="0"/>
        </a:xfrm>
        <a:prstGeom prst="leftRightArrow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>
    <xdr:from>
      <xdr:col>8</xdr:col>
      <xdr:colOff>190500</xdr:colOff>
      <xdr:row>64</xdr:row>
      <xdr:rowOff>0</xdr:rowOff>
    </xdr:from>
    <xdr:to>
      <xdr:col>8</xdr:col>
      <xdr:colOff>359019</xdr:colOff>
      <xdr:row>64</xdr:row>
      <xdr:rowOff>0</xdr:rowOff>
    </xdr:to>
    <xdr:sp macro="" textlink="">
      <xdr:nvSpPr>
        <xdr:cNvPr id="26" name="PIJL-LINKS en -RECHTS 816"/>
        <xdr:cNvSpPr/>
      </xdr:nvSpPr>
      <xdr:spPr>
        <a:xfrm>
          <a:off x="15630525" y="27651075"/>
          <a:ext cx="168519" cy="0"/>
        </a:xfrm>
        <a:prstGeom prst="leftRightArrow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>
    <xdr:from>
      <xdr:col>8</xdr:col>
      <xdr:colOff>190500</xdr:colOff>
      <xdr:row>64</xdr:row>
      <xdr:rowOff>0</xdr:rowOff>
    </xdr:from>
    <xdr:to>
      <xdr:col>8</xdr:col>
      <xdr:colOff>359019</xdr:colOff>
      <xdr:row>64</xdr:row>
      <xdr:rowOff>0</xdr:rowOff>
    </xdr:to>
    <xdr:sp macro="" textlink="">
      <xdr:nvSpPr>
        <xdr:cNvPr id="27" name="PIJL-LINKS en -RECHTS 817"/>
        <xdr:cNvSpPr/>
      </xdr:nvSpPr>
      <xdr:spPr>
        <a:xfrm>
          <a:off x="15630525" y="27651075"/>
          <a:ext cx="168519" cy="0"/>
        </a:xfrm>
        <a:prstGeom prst="leftRightArrow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 editAs="oneCell">
    <xdr:from>
      <xdr:col>1</xdr:col>
      <xdr:colOff>990600</xdr:colOff>
      <xdr:row>5</xdr:row>
      <xdr:rowOff>301204</xdr:rowOff>
    </xdr:from>
    <xdr:to>
      <xdr:col>1</xdr:col>
      <xdr:colOff>2114550</xdr:colOff>
      <xdr:row>7</xdr:row>
      <xdr:rowOff>114299</xdr:rowOff>
    </xdr:to>
    <xdr:pic>
      <xdr:nvPicPr>
        <xdr:cNvPr id="28" name="Afbeelding 948" descr="LAKQ U2.pn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248150" y="3425404"/>
          <a:ext cx="1123950" cy="7846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1314450</xdr:colOff>
      <xdr:row>12</xdr:row>
      <xdr:rowOff>250278</xdr:rowOff>
    </xdr:from>
    <xdr:to>
      <xdr:col>1</xdr:col>
      <xdr:colOff>2019300</xdr:colOff>
      <xdr:row>16</xdr:row>
      <xdr:rowOff>114300</xdr:rowOff>
    </xdr:to>
    <xdr:pic>
      <xdr:nvPicPr>
        <xdr:cNvPr id="29" name="Afbeelding 1025" descr="LEKQ U4.pn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572000" y="5755728"/>
          <a:ext cx="704850" cy="10451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1066800</xdr:colOff>
      <xdr:row>19</xdr:row>
      <xdr:rowOff>304799</xdr:rowOff>
    </xdr:from>
    <xdr:to>
      <xdr:col>1</xdr:col>
      <xdr:colOff>2019300</xdr:colOff>
      <xdr:row>22</xdr:row>
      <xdr:rowOff>98180</xdr:rowOff>
    </xdr:to>
    <xdr:pic>
      <xdr:nvPicPr>
        <xdr:cNvPr id="30" name="Afbeelding 1029" descr="LAKZ P1.pn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324350" y="8058149"/>
          <a:ext cx="952500" cy="8792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685800</xdr:colOff>
      <xdr:row>26</xdr:row>
      <xdr:rowOff>38100</xdr:rowOff>
    </xdr:from>
    <xdr:to>
      <xdr:col>1</xdr:col>
      <xdr:colOff>1009650</xdr:colOff>
      <xdr:row>27</xdr:row>
      <xdr:rowOff>247650</xdr:rowOff>
    </xdr:to>
    <xdr:pic>
      <xdr:nvPicPr>
        <xdr:cNvPr id="31" name="Afbeelding 1042" descr="HYBRID 6060.pn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943350" y="10020300"/>
          <a:ext cx="323850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1295400</xdr:colOff>
      <xdr:row>32</xdr:row>
      <xdr:rowOff>171450</xdr:rowOff>
    </xdr:from>
    <xdr:to>
      <xdr:col>1</xdr:col>
      <xdr:colOff>2000250</xdr:colOff>
      <xdr:row>36</xdr:row>
      <xdr:rowOff>133350</xdr:rowOff>
    </xdr:to>
    <xdr:pic>
      <xdr:nvPicPr>
        <xdr:cNvPr id="32" name="Afbeelding 1088" descr="LSKZ U2.pn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552950" y="12763500"/>
          <a:ext cx="704850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923925</xdr:colOff>
      <xdr:row>52</xdr:row>
      <xdr:rowOff>76200</xdr:rowOff>
    </xdr:from>
    <xdr:to>
      <xdr:col>1</xdr:col>
      <xdr:colOff>1657350</xdr:colOff>
      <xdr:row>53</xdr:row>
      <xdr:rowOff>247650</xdr:rowOff>
    </xdr:to>
    <xdr:pic>
      <xdr:nvPicPr>
        <xdr:cNvPr id="33" name="Afbeelding 1117" descr="G90Z-M20.pn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171950" y="21316950"/>
          <a:ext cx="73342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1123950</xdr:colOff>
      <xdr:row>50</xdr:row>
      <xdr:rowOff>76200</xdr:rowOff>
    </xdr:from>
    <xdr:to>
      <xdr:col>1</xdr:col>
      <xdr:colOff>1600200</xdr:colOff>
      <xdr:row>51</xdr:row>
      <xdr:rowOff>231228</xdr:rowOff>
    </xdr:to>
    <xdr:pic>
      <xdr:nvPicPr>
        <xdr:cNvPr id="34" name="Afbeelding 1118" descr="GBMU-4D.pn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381500" y="20383500"/>
          <a:ext cx="476250" cy="459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1600200</xdr:colOff>
      <xdr:row>62</xdr:row>
      <xdr:rowOff>38100</xdr:rowOff>
    </xdr:from>
    <xdr:to>
      <xdr:col>1</xdr:col>
      <xdr:colOff>2114550</xdr:colOff>
      <xdr:row>63</xdr:row>
      <xdr:rowOff>152400</xdr:rowOff>
    </xdr:to>
    <xdr:pic>
      <xdr:nvPicPr>
        <xdr:cNvPr id="35" name="Afbeelding 1173" descr="VTC.pn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848225" y="25803225"/>
          <a:ext cx="51435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1657350</xdr:colOff>
      <xdr:row>55</xdr:row>
      <xdr:rowOff>171450</xdr:rowOff>
    </xdr:from>
    <xdr:to>
      <xdr:col>1</xdr:col>
      <xdr:colOff>1981200</xdr:colOff>
      <xdr:row>56</xdr:row>
      <xdr:rowOff>514350</xdr:rowOff>
    </xdr:to>
    <xdr:pic>
      <xdr:nvPicPr>
        <xdr:cNvPr id="36" name="Afbeelding 1184" descr="VSF.pn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905375" y="22383750"/>
          <a:ext cx="32385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1200150</xdr:colOff>
      <xdr:row>59</xdr:row>
      <xdr:rowOff>114300</xdr:rowOff>
    </xdr:from>
    <xdr:to>
      <xdr:col>1</xdr:col>
      <xdr:colOff>1943100</xdr:colOff>
      <xdr:row>61</xdr:row>
      <xdr:rowOff>57150</xdr:rowOff>
    </xdr:to>
    <xdr:pic>
      <xdr:nvPicPr>
        <xdr:cNvPr id="37" name="Afbeelding 1190" descr="SAMSON.pn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448175" y="24745950"/>
          <a:ext cx="742950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533400</xdr:colOff>
      <xdr:row>62</xdr:row>
      <xdr:rowOff>76200</xdr:rowOff>
    </xdr:from>
    <xdr:to>
      <xdr:col>1</xdr:col>
      <xdr:colOff>685800</xdr:colOff>
      <xdr:row>63</xdr:row>
      <xdr:rowOff>76200</xdr:rowOff>
    </xdr:to>
    <xdr:pic>
      <xdr:nvPicPr>
        <xdr:cNvPr id="38" name="Afbeelding 1322" descr="GATESTOP.pn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3781425" y="25841325"/>
          <a:ext cx="152400" cy="971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0</xdr:colOff>
      <xdr:row>38</xdr:row>
      <xdr:rowOff>0</xdr:rowOff>
    </xdr:from>
    <xdr:to>
      <xdr:col>3</xdr:col>
      <xdr:colOff>0</xdr:colOff>
      <xdr:row>38</xdr:row>
      <xdr:rowOff>0</xdr:rowOff>
    </xdr:to>
    <xdr:sp macro="" textlink="">
      <xdr:nvSpPr>
        <xdr:cNvPr id="39" name="Rectangle 1109"/>
        <xdr:cNvSpPr>
          <a:spLocks noChangeArrowheads="1"/>
        </xdr:cNvSpPr>
      </xdr:nvSpPr>
      <xdr:spPr bwMode="auto">
        <a:xfrm flipH="1">
          <a:off x="9344025" y="14573250"/>
          <a:ext cx="0" cy="0"/>
        </a:xfrm>
        <a:prstGeom prst="rect">
          <a:avLst/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</xdr:col>
      <xdr:colOff>1123950</xdr:colOff>
      <xdr:row>63</xdr:row>
      <xdr:rowOff>57150</xdr:rowOff>
    </xdr:from>
    <xdr:to>
      <xdr:col>1</xdr:col>
      <xdr:colOff>1657350</xdr:colOff>
      <xdr:row>63</xdr:row>
      <xdr:rowOff>703695</xdr:rowOff>
    </xdr:to>
    <xdr:pic>
      <xdr:nvPicPr>
        <xdr:cNvPr id="40" name="Afbeelding 1276" descr="HOOKIN.pn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381500" y="26746200"/>
          <a:ext cx="533400" cy="646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1485900</xdr:colOff>
      <xdr:row>56</xdr:row>
      <xdr:rowOff>209550</xdr:rowOff>
    </xdr:from>
    <xdr:to>
      <xdr:col>1</xdr:col>
      <xdr:colOff>1771650</xdr:colOff>
      <xdr:row>57</xdr:row>
      <xdr:rowOff>400050</xdr:rowOff>
    </xdr:to>
    <xdr:pic>
      <xdr:nvPicPr>
        <xdr:cNvPr id="41" name="Afbeelding 1406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-53825" b="53825"/>
        <a:stretch>
          <a:fillRect/>
        </a:stretch>
      </xdr:blipFill>
      <xdr:spPr bwMode="auto">
        <a:xfrm>
          <a:off x="4733925" y="22736175"/>
          <a:ext cx="2857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1076325</xdr:colOff>
      <xdr:row>58</xdr:row>
      <xdr:rowOff>57150</xdr:rowOff>
    </xdr:from>
    <xdr:to>
      <xdr:col>1</xdr:col>
      <xdr:colOff>1638300</xdr:colOff>
      <xdr:row>58</xdr:row>
      <xdr:rowOff>600075</xdr:rowOff>
    </xdr:to>
    <xdr:pic>
      <xdr:nvPicPr>
        <xdr:cNvPr id="4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324350" y="23783925"/>
          <a:ext cx="5619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76200</xdr:colOff>
      <xdr:row>56</xdr:row>
      <xdr:rowOff>38100</xdr:rowOff>
    </xdr:from>
    <xdr:to>
      <xdr:col>4</xdr:col>
      <xdr:colOff>285750</xdr:colOff>
      <xdr:row>56</xdr:row>
      <xdr:rowOff>647700</xdr:rowOff>
    </xdr:to>
    <xdr:sp macro="" textlink="">
      <xdr:nvSpPr>
        <xdr:cNvPr id="43" name="PIJL-OMLAAG 931"/>
        <xdr:cNvSpPr>
          <a:spLocks noChangeArrowheads="1"/>
        </xdr:cNvSpPr>
      </xdr:nvSpPr>
      <xdr:spPr bwMode="auto">
        <a:xfrm>
          <a:off x="11572875" y="22564725"/>
          <a:ext cx="209550" cy="561975"/>
        </a:xfrm>
        <a:prstGeom prst="downArrow">
          <a:avLst>
            <a:gd name="adj1" fmla="val 50000"/>
            <a:gd name="adj2" fmla="val 47044"/>
          </a:avLst>
        </a:prstGeom>
        <a:solidFill>
          <a:srgbClr val="000000"/>
        </a:solidFill>
        <a:ln w="25400" algn="ctr">
          <a:noFill/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12</xdr:row>
      <xdr:rowOff>285750</xdr:rowOff>
    </xdr:from>
    <xdr:to>
      <xdr:col>3</xdr:col>
      <xdr:colOff>0</xdr:colOff>
      <xdr:row>14</xdr:row>
      <xdr:rowOff>228600</xdr:rowOff>
    </xdr:to>
    <xdr:sp macro="" textlink="">
      <xdr:nvSpPr>
        <xdr:cNvPr id="44" name="Rectangle 1110"/>
        <xdr:cNvSpPr>
          <a:spLocks noChangeArrowheads="1"/>
        </xdr:cNvSpPr>
      </xdr:nvSpPr>
      <xdr:spPr bwMode="auto">
        <a:xfrm>
          <a:off x="9344025" y="6429375"/>
          <a:ext cx="0" cy="6286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19</xdr:row>
      <xdr:rowOff>342900</xdr:rowOff>
    </xdr:from>
    <xdr:to>
      <xdr:col>3</xdr:col>
      <xdr:colOff>0</xdr:colOff>
      <xdr:row>21</xdr:row>
      <xdr:rowOff>228600</xdr:rowOff>
    </xdr:to>
    <xdr:sp macro="" textlink="">
      <xdr:nvSpPr>
        <xdr:cNvPr id="45" name="Rectangle 1110"/>
        <xdr:cNvSpPr>
          <a:spLocks noChangeArrowheads="1"/>
        </xdr:cNvSpPr>
      </xdr:nvSpPr>
      <xdr:spPr bwMode="auto">
        <a:xfrm>
          <a:off x="9344025" y="8667750"/>
          <a:ext cx="0" cy="5905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34</xdr:row>
      <xdr:rowOff>0</xdr:rowOff>
    </xdr:from>
    <xdr:to>
      <xdr:col>3</xdr:col>
      <xdr:colOff>0</xdr:colOff>
      <xdr:row>35</xdr:row>
      <xdr:rowOff>314325</xdr:rowOff>
    </xdr:to>
    <xdr:sp macro="" textlink="">
      <xdr:nvSpPr>
        <xdr:cNvPr id="46" name="Rectangle 1110"/>
        <xdr:cNvSpPr>
          <a:spLocks noChangeArrowheads="1"/>
        </xdr:cNvSpPr>
      </xdr:nvSpPr>
      <xdr:spPr bwMode="auto">
        <a:xfrm>
          <a:off x="9344025" y="13468350"/>
          <a:ext cx="0" cy="6286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38</xdr:row>
      <xdr:rowOff>0</xdr:rowOff>
    </xdr:from>
    <xdr:to>
      <xdr:col>3</xdr:col>
      <xdr:colOff>0</xdr:colOff>
      <xdr:row>38</xdr:row>
      <xdr:rowOff>0</xdr:rowOff>
    </xdr:to>
    <xdr:sp macro="" textlink="">
      <xdr:nvSpPr>
        <xdr:cNvPr id="47" name="Rectangle 1110"/>
        <xdr:cNvSpPr>
          <a:spLocks noChangeArrowheads="1"/>
        </xdr:cNvSpPr>
      </xdr:nvSpPr>
      <xdr:spPr bwMode="auto">
        <a:xfrm>
          <a:off x="9344025" y="14573250"/>
          <a:ext cx="0" cy="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38</xdr:row>
      <xdr:rowOff>0</xdr:rowOff>
    </xdr:from>
    <xdr:to>
      <xdr:col>3</xdr:col>
      <xdr:colOff>0</xdr:colOff>
      <xdr:row>38</xdr:row>
      <xdr:rowOff>0</xdr:rowOff>
    </xdr:to>
    <xdr:sp macro="" textlink="">
      <xdr:nvSpPr>
        <xdr:cNvPr id="48" name="Rectangle 1110"/>
        <xdr:cNvSpPr>
          <a:spLocks noChangeArrowheads="1"/>
        </xdr:cNvSpPr>
      </xdr:nvSpPr>
      <xdr:spPr bwMode="auto">
        <a:xfrm>
          <a:off x="9344025" y="14573250"/>
          <a:ext cx="0" cy="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38</xdr:row>
      <xdr:rowOff>0</xdr:rowOff>
    </xdr:from>
    <xdr:to>
      <xdr:col>3</xdr:col>
      <xdr:colOff>0</xdr:colOff>
      <xdr:row>38</xdr:row>
      <xdr:rowOff>0</xdr:rowOff>
    </xdr:to>
    <xdr:sp macro="" textlink="">
      <xdr:nvSpPr>
        <xdr:cNvPr id="49" name="Rectangle 1110"/>
        <xdr:cNvSpPr>
          <a:spLocks noChangeArrowheads="1"/>
        </xdr:cNvSpPr>
      </xdr:nvSpPr>
      <xdr:spPr bwMode="auto">
        <a:xfrm>
          <a:off x="9344025" y="14573250"/>
          <a:ext cx="0" cy="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56</xdr:row>
      <xdr:rowOff>57150</xdr:rowOff>
    </xdr:from>
    <xdr:to>
      <xdr:col>3</xdr:col>
      <xdr:colOff>0</xdr:colOff>
      <xdr:row>56</xdr:row>
      <xdr:rowOff>504825</xdr:rowOff>
    </xdr:to>
    <xdr:sp macro="" textlink="">
      <xdr:nvSpPr>
        <xdr:cNvPr id="50" name="Rectangle 1110"/>
        <xdr:cNvSpPr>
          <a:spLocks noChangeArrowheads="1"/>
        </xdr:cNvSpPr>
      </xdr:nvSpPr>
      <xdr:spPr bwMode="auto">
        <a:xfrm>
          <a:off x="9344025" y="22583775"/>
          <a:ext cx="0" cy="447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38</xdr:row>
      <xdr:rowOff>0</xdr:rowOff>
    </xdr:from>
    <xdr:to>
      <xdr:col>3</xdr:col>
      <xdr:colOff>0</xdr:colOff>
      <xdr:row>38</xdr:row>
      <xdr:rowOff>0</xdr:rowOff>
    </xdr:to>
    <xdr:sp macro="" textlink="">
      <xdr:nvSpPr>
        <xdr:cNvPr id="51" name="Rectangle 1110"/>
        <xdr:cNvSpPr>
          <a:spLocks noChangeArrowheads="1"/>
        </xdr:cNvSpPr>
      </xdr:nvSpPr>
      <xdr:spPr bwMode="auto">
        <a:xfrm>
          <a:off x="9344025" y="14573250"/>
          <a:ext cx="0" cy="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38</xdr:row>
      <xdr:rowOff>0</xdr:rowOff>
    </xdr:from>
    <xdr:to>
      <xdr:col>3</xdr:col>
      <xdr:colOff>0</xdr:colOff>
      <xdr:row>38</xdr:row>
      <xdr:rowOff>0</xdr:rowOff>
    </xdr:to>
    <xdr:sp macro="" textlink="">
      <xdr:nvSpPr>
        <xdr:cNvPr id="52" name="Rectangle 1110"/>
        <xdr:cNvSpPr>
          <a:spLocks noChangeArrowheads="1"/>
        </xdr:cNvSpPr>
      </xdr:nvSpPr>
      <xdr:spPr bwMode="auto">
        <a:xfrm>
          <a:off x="9344025" y="14573250"/>
          <a:ext cx="0" cy="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57</xdr:row>
      <xdr:rowOff>0</xdr:rowOff>
    </xdr:from>
    <xdr:to>
      <xdr:col>3</xdr:col>
      <xdr:colOff>0</xdr:colOff>
      <xdr:row>57</xdr:row>
      <xdr:rowOff>0</xdr:rowOff>
    </xdr:to>
    <xdr:sp macro="" textlink="">
      <xdr:nvSpPr>
        <xdr:cNvPr id="53" name="Rectangle 1110"/>
        <xdr:cNvSpPr>
          <a:spLocks noChangeArrowheads="1"/>
        </xdr:cNvSpPr>
      </xdr:nvSpPr>
      <xdr:spPr bwMode="auto">
        <a:xfrm>
          <a:off x="9344025" y="23126700"/>
          <a:ext cx="0" cy="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57</xdr:row>
      <xdr:rowOff>76200</xdr:rowOff>
    </xdr:from>
    <xdr:to>
      <xdr:col>3</xdr:col>
      <xdr:colOff>0</xdr:colOff>
      <xdr:row>57</xdr:row>
      <xdr:rowOff>514350</xdr:rowOff>
    </xdr:to>
    <xdr:sp macro="" textlink="">
      <xdr:nvSpPr>
        <xdr:cNvPr id="54" name="Rectangle 1110"/>
        <xdr:cNvSpPr>
          <a:spLocks noChangeArrowheads="1"/>
        </xdr:cNvSpPr>
      </xdr:nvSpPr>
      <xdr:spPr bwMode="auto">
        <a:xfrm>
          <a:off x="9344025" y="23202900"/>
          <a:ext cx="0" cy="438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58</xdr:row>
      <xdr:rowOff>228600</xdr:rowOff>
    </xdr:from>
    <xdr:to>
      <xdr:col>3</xdr:col>
      <xdr:colOff>0</xdr:colOff>
      <xdr:row>58</xdr:row>
      <xdr:rowOff>781050</xdr:rowOff>
    </xdr:to>
    <xdr:sp macro="" textlink="">
      <xdr:nvSpPr>
        <xdr:cNvPr id="55" name="Rectangle 1110"/>
        <xdr:cNvSpPr>
          <a:spLocks noChangeArrowheads="1"/>
        </xdr:cNvSpPr>
      </xdr:nvSpPr>
      <xdr:spPr bwMode="auto">
        <a:xfrm>
          <a:off x="9344025" y="23955375"/>
          <a:ext cx="0" cy="5524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59</xdr:row>
      <xdr:rowOff>0</xdr:rowOff>
    </xdr:from>
    <xdr:to>
      <xdr:col>3</xdr:col>
      <xdr:colOff>0</xdr:colOff>
      <xdr:row>59</xdr:row>
      <xdr:rowOff>0</xdr:rowOff>
    </xdr:to>
    <xdr:sp macro="" textlink="">
      <xdr:nvSpPr>
        <xdr:cNvPr id="56" name="Rectangle 1110"/>
        <xdr:cNvSpPr>
          <a:spLocks noChangeArrowheads="1"/>
        </xdr:cNvSpPr>
      </xdr:nvSpPr>
      <xdr:spPr bwMode="auto">
        <a:xfrm>
          <a:off x="9344025" y="24631650"/>
          <a:ext cx="0" cy="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59</xdr:row>
      <xdr:rowOff>57150</xdr:rowOff>
    </xdr:from>
    <xdr:to>
      <xdr:col>3</xdr:col>
      <xdr:colOff>0</xdr:colOff>
      <xdr:row>59</xdr:row>
      <xdr:rowOff>609600</xdr:rowOff>
    </xdr:to>
    <xdr:sp macro="" textlink="">
      <xdr:nvSpPr>
        <xdr:cNvPr id="57" name="Rectangle 1110"/>
        <xdr:cNvSpPr>
          <a:spLocks noChangeArrowheads="1"/>
        </xdr:cNvSpPr>
      </xdr:nvSpPr>
      <xdr:spPr bwMode="auto">
        <a:xfrm>
          <a:off x="9344025" y="24688800"/>
          <a:ext cx="0" cy="5524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62</xdr:row>
      <xdr:rowOff>57150</xdr:rowOff>
    </xdr:from>
    <xdr:to>
      <xdr:col>3</xdr:col>
      <xdr:colOff>0</xdr:colOff>
      <xdr:row>62</xdr:row>
      <xdr:rowOff>609600</xdr:rowOff>
    </xdr:to>
    <xdr:sp macro="" textlink="">
      <xdr:nvSpPr>
        <xdr:cNvPr id="58" name="Rectangle 1110"/>
        <xdr:cNvSpPr>
          <a:spLocks noChangeArrowheads="1"/>
        </xdr:cNvSpPr>
      </xdr:nvSpPr>
      <xdr:spPr bwMode="auto">
        <a:xfrm>
          <a:off x="9344025" y="25822275"/>
          <a:ext cx="0" cy="5524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63</xdr:row>
      <xdr:rowOff>114300</xdr:rowOff>
    </xdr:from>
    <xdr:to>
      <xdr:col>3</xdr:col>
      <xdr:colOff>0</xdr:colOff>
      <xdr:row>63</xdr:row>
      <xdr:rowOff>666750</xdr:rowOff>
    </xdr:to>
    <xdr:sp macro="" textlink="">
      <xdr:nvSpPr>
        <xdr:cNvPr id="59" name="Rectangle 1110"/>
        <xdr:cNvSpPr>
          <a:spLocks noChangeArrowheads="1"/>
        </xdr:cNvSpPr>
      </xdr:nvSpPr>
      <xdr:spPr bwMode="auto">
        <a:xfrm>
          <a:off x="9344025" y="27031950"/>
          <a:ext cx="0" cy="5524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</xdr:col>
      <xdr:colOff>1143000</xdr:colOff>
      <xdr:row>47</xdr:row>
      <xdr:rowOff>57150</xdr:rowOff>
    </xdr:from>
    <xdr:to>
      <xdr:col>1</xdr:col>
      <xdr:colOff>1733550</xdr:colOff>
      <xdr:row>47</xdr:row>
      <xdr:rowOff>590550</xdr:rowOff>
    </xdr:to>
    <xdr:pic>
      <xdr:nvPicPr>
        <xdr:cNvPr id="60" name="Afbeelding 1098" descr="Quickfix.pn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400550" y="19011900"/>
          <a:ext cx="59055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1123950</xdr:colOff>
      <xdr:row>54</xdr:row>
      <xdr:rowOff>38100</xdr:rowOff>
    </xdr:from>
    <xdr:to>
      <xdr:col>1</xdr:col>
      <xdr:colOff>1498190</xdr:colOff>
      <xdr:row>55</xdr:row>
      <xdr:rowOff>266700</xdr:rowOff>
    </xdr:to>
    <xdr:pic>
      <xdr:nvPicPr>
        <xdr:cNvPr id="61" name="Afbeelding 1331" descr="WALLPLATES_EN_TOEBEHOREN.pn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-4410" t="14403" r="-8035" b="49590"/>
        <a:stretch>
          <a:fillRect/>
        </a:stretch>
      </xdr:blipFill>
      <xdr:spPr bwMode="auto">
        <a:xfrm>
          <a:off x="4381500" y="21621750"/>
          <a:ext cx="37424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1104901</xdr:colOff>
      <xdr:row>48</xdr:row>
      <xdr:rowOff>57150</xdr:rowOff>
    </xdr:from>
    <xdr:to>
      <xdr:col>1</xdr:col>
      <xdr:colOff>1752601</xdr:colOff>
      <xdr:row>49</xdr:row>
      <xdr:rowOff>305686</xdr:rowOff>
    </xdr:to>
    <xdr:pic>
      <xdr:nvPicPr>
        <xdr:cNvPr id="62" name="Picture 1261" descr="GBMU4DSHIELD16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362451" y="19659600"/>
          <a:ext cx="647700" cy="5723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1257300</xdr:colOff>
      <xdr:row>10</xdr:row>
      <xdr:rowOff>133350</xdr:rowOff>
    </xdr:from>
    <xdr:to>
      <xdr:col>1</xdr:col>
      <xdr:colOff>1943100</xdr:colOff>
      <xdr:row>11</xdr:row>
      <xdr:rowOff>190500</xdr:rowOff>
    </xdr:to>
    <xdr:pic>
      <xdr:nvPicPr>
        <xdr:cNvPr id="63" name="Afbeelding 1033" descr="SAKL QF.pn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505325" y="5324475"/>
          <a:ext cx="685800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1371600</xdr:colOff>
      <xdr:row>23</xdr:row>
      <xdr:rowOff>76200</xdr:rowOff>
    </xdr:from>
    <xdr:to>
      <xdr:col>1</xdr:col>
      <xdr:colOff>1981200</xdr:colOff>
      <xdr:row>26</xdr:row>
      <xdr:rowOff>88412</xdr:rowOff>
    </xdr:to>
    <xdr:pic>
      <xdr:nvPicPr>
        <xdr:cNvPr id="64" name="Afbeelding 1033" descr="SAKL QF.pn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629150" y="9277350"/>
          <a:ext cx="609600" cy="6408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1885950</xdr:colOff>
      <xdr:row>26</xdr:row>
      <xdr:rowOff>57150</xdr:rowOff>
    </xdr:from>
    <xdr:to>
      <xdr:col>1</xdr:col>
      <xdr:colOff>2419350</xdr:colOff>
      <xdr:row>27</xdr:row>
      <xdr:rowOff>209550</xdr:rowOff>
    </xdr:to>
    <xdr:pic>
      <xdr:nvPicPr>
        <xdr:cNvPr id="65" name="Afbeelding 1082" descr="SHKM.pn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5143500" y="10039350"/>
          <a:ext cx="533400" cy="89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876300</xdr:colOff>
      <xdr:row>38</xdr:row>
      <xdr:rowOff>57150</xdr:rowOff>
    </xdr:from>
    <xdr:to>
      <xdr:col>1</xdr:col>
      <xdr:colOff>1017746</xdr:colOff>
      <xdr:row>38</xdr:row>
      <xdr:rowOff>685800</xdr:rowOff>
    </xdr:to>
    <xdr:pic>
      <xdr:nvPicPr>
        <xdr:cNvPr id="66" name="Afbeelding 2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133850" y="14230350"/>
          <a:ext cx="141446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2038350</xdr:colOff>
      <xdr:row>39</xdr:row>
      <xdr:rowOff>57150</xdr:rowOff>
    </xdr:from>
    <xdr:to>
      <xdr:col>1</xdr:col>
      <xdr:colOff>2209800</xdr:colOff>
      <xdr:row>39</xdr:row>
      <xdr:rowOff>609600</xdr:rowOff>
    </xdr:to>
    <xdr:pic>
      <xdr:nvPicPr>
        <xdr:cNvPr id="67" name="Afbeelding 1386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5286375" y="15363825"/>
          <a:ext cx="17145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0</xdr:colOff>
      <xdr:row>10</xdr:row>
      <xdr:rowOff>95250</xdr:rowOff>
    </xdr:from>
    <xdr:to>
      <xdr:col>3</xdr:col>
      <xdr:colOff>0</xdr:colOff>
      <xdr:row>10</xdr:row>
      <xdr:rowOff>495300</xdr:rowOff>
    </xdr:to>
    <xdr:sp macro="" textlink="">
      <xdr:nvSpPr>
        <xdr:cNvPr id="68" name="Rectangle 73"/>
        <xdr:cNvSpPr>
          <a:spLocks noChangeArrowheads="1"/>
        </xdr:cNvSpPr>
      </xdr:nvSpPr>
      <xdr:spPr bwMode="auto">
        <a:xfrm>
          <a:off x="9344025" y="5286375"/>
          <a:ext cx="0" cy="4000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</xdr:col>
      <xdr:colOff>1257300</xdr:colOff>
      <xdr:row>17</xdr:row>
      <xdr:rowOff>38100</xdr:rowOff>
    </xdr:from>
    <xdr:to>
      <xdr:col>1</xdr:col>
      <xdr:colOff>2076450</xdr:colOff>
      <xdr:row>18</xdr:row>
      <xdr:rowOff>57150</xdr:rowOff>
    </xdr:to>
    <xdr:pic>
      <xdr:nvPicPr>
        <xdr:cNvPr id="69" name="Afbeelding 1033" descr="SAKL QF.pn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514850" y="7086600"/>
          <a:ext cx="819150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0</xdr:colOff>
      <xdr:row>17</xdr:row>
      <xdr:rowOff>95250</xdr:rowOff>
    </xdr:from>
    <xdr:to>
      <xdr:col>3</xdr:col>
      <xdr:colOff>0</xdr:colOff>
      <xdr:row>17</xdr:row>
      <xdr:rowOff>552450</xdr:rowOff>
    </xdr:to>
    <xdr:sp macro="" textlink="">
      <xdr:nvSpPr>
        <xdr:cNvPr id="70" name="Rectangle 75"/>
        <xdr:cNvSpPr>
          <a:spLocks noChangeArrowheads="1"/>
        </xdr:cNvSpPr>
      </xdr:nvSpPr>
      <xdr:spPr bwMode="auto">
        <a:xfrm>
          <a:off x="9344025" y="7734300"/>
          <a:ext cx="0" cy="457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38</xdr:row>
      <xdr:rowOff>95250</xdr:rowOff>
    </xdr:from>
    <xdr:to>
      <xdr:col>3</xdr:col>
      <xdr:colOff>0</xdr:colOff>
      <xdr:row>38</xdr:row>
      <xdr:rowOff>723900</xdr:rowOff>
    </xdr:to>
    <xdr:sp macro="" textlink="">
      <xdr:nvSpPr>
        <xdr:cNvPr id="71" name="Rectangle 77"/>
        <xdr:cNvSpPr>
          <a:spLocks noChangeArrowheads="1"/>
        </xdr:cNvSpPr>
      </xdr:nvSpPr>
      <xdr:spPr bwMode="auto">
        <a:xfrm>
          <a:off x="9344025" y="14668500"/>
          <a:ext cx="0" cy="6286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39</xdr:row>
      <xdr:rowOff>95250</xdr:rowOff>
    </xdr:from>
    <xdr:to>
      <xdr:col>3</xdr:col>
      <xdr:colOff>0</xdr:colOff>
      <xdr:row>39</xdr:row>
      <xdr:rowOff>733425</xdr:rowOff>
    </xdr:to>
    <xdr:sp macro="" textlink="">
      <xdr:nvSpPr>
        <xdr:cNvPr id="72" name="Rectangle 78"/>
        <xdr:cNvSpPr>
          <a:spLocks noChangeArrowheads="1"/>
        </xdr:cNvSpPr>
      </xdr:nvSpPr>
      <xdr:spPr bwMode="auto">
        <a:xfrm flipH="1">
          <a:off x="9344025" y="15401925"/>
          <a:ext cx="0" cy="619125"/>
        </a:xfrm>
        <a:prstGeom prst="rect">
          <a:avLst/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40</xdr:row>
      <xdr:rowOff>247650</xdr:rowOff>
    </xdr:from>
    <xdr:to>
      <xdr:col>3</xdr:col>
      <xdr:colOff>0</xdr:colOff>
      <xdr:row>42</xdr:row>
      <xdr:rowOff>0</xdr:rowOff>
    </xdr:to>
    <xdr:sp macro="" textlink="">
      <xdr:nvSpPr>
        <xdr:cNvPr id="73" name="Rectangle 1110"/>
        <xdr:cNvSpPr>
          <a:spLocks noChangeArrowheads="1"/>
        </xdr:cNvSpPr>
      </xdr:nvSpPr>
      <xdr:spPr bwMode="auto">
        <a:xfrm>
          <a:off x="9344025" y="16268700"/>
          <a:ext cx="0" cy="514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</xdr:col>
      <xdr:colOff>1028700</xdr:colOff>
      <xdr:row>45</xdr:row>
      <xdr:rowOff>133350</xdr:rowOff>
    </xdr:from>
    <xdr:to>
      <xdr:col>1</xdr:col>
      <xdr:colOff>1790700</xdr:colOff>
      <xdr:row>47</xdr:row>
      <xdr:rowOff>190500</xdr:rowOff>
    </xdr:to>
    <xdr:pic>
      <xdr:nvPicPr>
        <xdr:cNvPr id="7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286250" y="18135600"/>
          <a:ext cx="7620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0</xdr:colOff>
      <xdr:row>45</xdr:row>
      <xdr:rowOff>190500</xdr:rowOff>
    </xdr:from>
    <xdr:to>
      <xdr:col>3</xdr:col>
      <xdr:colOff>0</xdr:colOff>
      <xdr:row>46</xdr:row>
      <xdr:rowOff>333375</xdr:rowOff>
    </xdr:to>
    <xdr:sp macro="" textlink="">
      <xdr:nvSpPr>
        <xdr:cNvPr id="75" name="Rectangle 1110"/>
        <xdr:cNvSpPr>
          <a:spLocks noChangeArrowheads="1"/>
        </xdr:cNvSpPr>
      </xdr:nvSpPr>
      <xdr:spPr bwMode="auto">
        <a:xfrm>
          <a:off x="9344025" y="18526125"/>
          <a:ext cx="0" cy="6477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0</xdr:colOff>
      <xdr:row>26</xdr:row>
      <xdr:rowOff>190500</xdr:rowOff>
    </xdr:from>
    <xdr:to>
      <xdr:col>3</xdr:col>
      <xdr:colOff>0</xdr:colOff>
      <xdr:row>26</xdr:row>
      <xdr:rowOff>781050</xdr:rowOff>
    </xdr:to>
    <xdr:sp macro="" textlink="">
      <xdr:nvSpPr>
        <xdr:cNvPr id="76" name="Text Box 81"/>
        <xdr:cNvSpPr txBox="1">
          <a:spLocks noChangeArrowheads="1"/>
        </xdr:cNvSpPr>
      </xdr:nvSpPr>
      <xdr:spPr bwMode="auto">
        <a:xfrm>
          <a:off x="9344025" y="10687050"/>
          <a:ext cx="0" cy="5905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</xdr:col>
      <xdr:colOff>990599</xdr:colOff>
      <xdr:row>40</xdr:row>
      <xdr:rowOff>285750</xdr:rowOff>
    </xdr:from>
    <xdr:to>
      <xdr:col>1</xdr:col>
      <xdr:colOff>2105024</xdr:colOff>
      <xdr:row>43</xdr:row>
      <xdr:rowOff>133350</xdr:rowOff>
    </xdr:to>
    <xdr:pic>
      <xdr:nvPicPr>
        <xdr:cNvPr id="77" name="Afbeelding 1029" descr="LAKZ P1.pn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48149" y="15925800"/>
          <a:ext cx="1114425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1596330</xdr:colOff>
      <xdr:row>1</xdr:row>
      <xdr:rowOff>57150</xdr:rowOff>
    </xdr:to>
    <xdr:pic>
      <xdr:nvPicPr>
        <xdr:cNvPr id="8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0"/>
          <a:ext cx="8130480" cy="1771650"/>
        </a:xfrm>
        <a:prstGeom prst="rect">
          <a:avLst/>
        </a:prstGeom>
        <a:noFill/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9616704</xdr:colOff>
      <xdr:row>11</xdr:row>
      <xdr:rowOff>71437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9616704" cy="2100262"/>
        </a:xfrm>
        <a:prstGeom prst="rect">
          <a:avLst/>
        </a:prstGeom>
        <a:noFill/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76200</xdr:colOff>
      <xdr:row>10</xdr:row>
      <xdr:rowOff>66675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8410575" cy="182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952500</xdr:colOff>
      <xdr:row>10</xdr:row>
      <xdr:rowOff>66675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8420100" cy="182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10</xdr:row>
      <xdr:rowOff>57150</xdr:rowOff>
    </xdr:from>
    <xdr:to>
      <xdr:col>0</xdr:col>
      <xdr:colOff>2057400</xdr:colOff>
      <xdr:row>12</xdr:row>
      <xdr:rowOff>209549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3429000"/>
          <a:ext cx="1914525" cy="742949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257175</xdr:colOff>
      <xdr:row>13</xdr:row>
      <xdr:rowOff>76200</xdr:rowOff>
    </xdr:from>
    <xdr:to>
      <xdr:col>0</xdr:col>
      <xdr:colOff>1885950</xdr:colOff>
      <xdr:row>15</xdr:row>
      <xdr:rowOff>104775</xdr:rowOff>
    </xdr:to>
    <xdr:pic>
      <xdr:nvPicPr>
        <xdr:cNvPr id="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57175" y="4391025"/>
          <a:ext cx="1628775" cy="7143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238125</xdr:colOff>
      <xdr:row>16</xdr:row>
      <xdr:rowOff>66675</xdr:rowOff>
    </xdr:from>
    <xdr:to>
      <xdr:col>0</xdr:col>
      <xdr:colOff>1933575</xdr:colOff>
      <xdr:row>18</xdr:row>
      <xdr:rowOff>161926</xdr:rowOff>
    </xdr:to>
    <xdr:pic>
      <xdr:nvPicPr>
        <xdr:cNvPr id="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38125" y="5467350"/>
          <a:ext cx="1695450" cy="72390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409575</xdr:colOff>
      <xdr:row>20</xdr:row>
      <xdr:rowOff>66675</xdr:rowOff>
    </xdr:from>
    <xdr:to>
      <xdr:col>0</xdr:col>
      <xdr:colOff>1695450</xdr:colOff>
      <xdr:row>22</xdr:row>
      <xdr:rowOff>228600</xdr:rowOff>
    </xdr:to>
    <xdr:pic>
      <xdr:nvPicPr>
        <xdr:cNvPr id="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09575" y="6781800"/>
          <a:ext cx="1285875" cy="7524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23</xdr:row>
      <xdr:rowOff>28575</xdr:rowOff>
    </xdr:from>
    <xdr:to>
      <xdr:col>0</xdr:col>
      <xdr:colOff>1714500</xdr:colOff>
      <xdr:row>25</xdr:row>
      <xdr:rowOff>257174</xdr:rowOff>
    </xdr:to>
    <xdr:pic>
      <xdr:nvPicPr>
        <xdr:cNvPr id="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52425" y="7629525"/>
          <a:ext cx="1362075" cy="819149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390525</xdr:colOff>
      <xdr:row>26</xdr:row>
      <xdr:rowOff>38100</xdr:rowOff>
    </xdr:from>
    <xdr:to>
      <xdr:col>0</xdr:col>
      <xdr:colOff>1809750</xdr:colOff>
      <xdr:row>28</xdr:row>
      <xdr:rowOff>257176</xdr:rowOff>
    </xdr:to>
    <xdr:pic>
      <xdr:nvPicPr>
        <xdr:cNvPr id="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390525" y="8524875"/>
          <a:ext cx="1419225" cy="809626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342900</xdr:colOff>
      <xdr:row>32</xdr:row>
      <xdr:rowOff>57150</xdr:rowOff>
    </xdr:from>
    <xdr:to>
      <xdr:col>0</xdr:col>
      <xdr:colOff>1714500</xdr:colOff>
      <xdr:row>34</xdr:row>
      <xdr:rowOff>209550</xdr:rowOff>
    </xdr:to>
    <xdr:pic>
      <xdr:nvPicPr>
        <xdr:cNvPr id="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42900" y="10487025"/>
          <a:ext cx="1371600" cy="7429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342900</xdr:colOff>
      <xdr:row>35</xdr:row>
      <xdr:rowOff>57150</xdr:rowOff>
    </xdr:from>
    <xdr:to>
      <xdr:col>0</xdr:col>
      <xdr:colOff>1866900</xdr:colOff>
      <xdr:row>37</xdr:row>
      <xdr:rowOff>228600</xdr:rowOff>
    </xdr:to>
    <xdr:pic>
      <xdr:nvPicPr>
        <xdr:cNvPr id="9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42900" y="11449050"/>
          <a:ext cx="1524000" cy="7620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276225</xdr:colOff>
      <xdr:row>40</xdr:row>
      <xdr:rowOff>58290</xdr:rowOff>
    </xdr:from>
    <xdr:to>
      <xdr:col>0</xdr:col>
      <xdr:colOff>1790700</xdr:colOff>
      <xdr:row>42</xdr:row>
      <xdr:rowOff>228599</xdr:rowOff>
    </xdr:to>
    <xdr:pic>
      <xdr:nvPicPr>
        <xdr:cNvPr id="10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76225" y="12964665"/>
          <a:ext cx="1514475" cy="760859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247651</xdr:colOff>
      <xdr:row>43</xdr:row>
      <xdr:rowOff>95250</xdr:rowOff>
    </xdr:from>
    <xdr:to>
      <xdr:col>0</xdr:col>
      <xdr:colOff>1686649</xdr:colOff>
      <xdr:row>45</xdr:row>
      <xdr:rowOff>219075</xdr:rowOff>
    </xdr:to>
    <xdr:pic>
      <xdr:nvPicPr>
        <xdr:cNvPr id="1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47651" y="13963650"/>
          <a:ext cx="1438998" cy="7143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46</xdr:row>
      <xdr:rowOff>113296</xdr:rowOff>
    </xdr:from>
    <xdr:to>
      <xdr:col>0</xdr:col>
      <xdr:colOff>1657350</xdr:colOff>
      <xdr:row>48</xdr:row>
      <xdr:rowOff>209549</xdr:rowOff>
    </xdr:to>
    <xdr:pic>
      <xdr:nvPicPr>
        <xdr:cNvPr id="12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352425" y="14943721"/>
          <a:ext cx="1304925" cy="677278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314325</xdr:colOff>
      <xdr:row>50</xdr:row>
      <xdr:rowOff>80452</xdr:rowOff>
    </xdr:from>
    <xdr:to>
      <xdr:col>0</xdr:col>
      <xdr:colOff>1828800</xdr:colOff>
      <xdr:row>52</xdr:row>
      <xdr:rowOff>219075</xdr:rowOff>
    </xdr:to>
    <xdr:pic>
      <xdr:nvPicPr>
        <xdr:cNvPr id="13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14325" y="16234852"/>
          <a:ext cx="1514475" cy="729173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304800</xdr:colOff>
      <xdr:row>53</xdr:row>
      <xdr:rowOff>57150</xdr:rowOff>
    </xdr:from>
    <xdr:to>
      <xdr:col>0</xdr:col>
      <xdr:colOff>1866900</xdr:colOff>
      <xdr:row>55</xdr:row>
      <xdr:rowOff>238125</xdr:rowOff>
    </xdr:to>
    <xdr:pic>
      <xdr:nvPicPr>
        <xdr:cNvPr id="14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304800" y="17173575"/>
          <a:ext cx="1562100" cy="7715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304800</xdr:colOff>
      <xdr:row>56</xdr:row>
      <xdr:rowOff>66675</xdr:rowOff>
    </xdr:from>
    <xdr:to>
      <xdr:col>0</xdr:col>
      <xdr:colOff>1876425</xdr:colOff>
      <xdr:row>58</xdr:row>
      <xdr:rowOff>219076</xdr:rowOff>
    </xdr:to>
    <xdr:pic>
      <xdr:nvPicPr>
        <xdr:cNvPr id="15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04800" y="18164175"/>
          <a:ext cx="1571625" cy="74295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504824</xdr:colOff>
      <xdr:row>65</xdr:row>
      <xdr:rowOff>76200</xdr:rowOff>
    </xdr:from>
    <xdr:to>
      <xdr:col>0</xdr:col>
      <xdr:colOff>1676399</xdr:colOff>
      <xdr:row>67</xdr:row>
      <xdr:rowOff>247650</xdr:rowOff>
    </xdr:to>
    <xdr:pic>
      <xdr:nvPicPr>
        <xdr:cNvPr id="16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504824" y="21183600"/>
          <a:ext cx="1171575" cy="7620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361950</xdr:colOff>
      <xdr:row>70</xdr:row>
      <xdr:rowOff>171450</xdr:rowOff>
    </xdr:from>
    <xdr:to>
      <xdr:col>0</xdr:col>
      <xdr:colOff>1981200</xdr:colOff>
      <xdr:row>72</xdr:row>
      <xdr:rowOff>180975</xdr:rowOff>
    </xdr:to>
    <xdr:pic>
      <xdr:nvPicPr>
        <xdr:cNvPr id="17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361950" y="22936200"/>
          <a:ext cx="1619250" cy="600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304800</xdr:colOff>
      <xdr:row>73</xdr:row>
      <xdr:rowOff>114300</xdr:rowOff>
    </xdr:from>
    <xdr:to>
      <xdr:col>0</xdr:col>
      <xdr:colOff>2028825</xdr:colOff>
      <xdr:row>75</xdr:row>
      <xdr:rowOff>171450</xdr:rowOff>
    </xdr:to>
    <xdr:pic>
      <xdr:nvPicPr>
        <xdr:cNvPr id="18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304800" y="23841075"/>
          <a:ext cx="1724025" cy="6477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523875</xdr:colOff>
      <xdr:row>29</xdr:row>
      <xdr:rowOff>28575</xdr:rowOff>
    </xdr:from>
    <xdr:to>
      <xdr:col>0</xdr:col>
      <xdr:colOff>1590675</xdr:colOff>
      <xdr:row>31</xdr:row>
      <xdr:rowOff>238125</xdr:rowOff>
    </xdr:to>
    <xdr:pic>
      <xdr:nvPicPr>
        <xdr:cNvPr id="19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523875" y="9496425"/>
          <a:ext cx="1066800" cy="8001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absolute">
    <xdr:from>
      <xdr:col>4</xdr:col>
      <xdr:colOff>19018</xdr:colOff>
      <xdr:row>7</xdr:row>
      <xdr:rowOff>3</xdr:rowOff>
    </xdr:from>
    <xdr:to>
      <xdr:col>9</xdr:col>
      <xdr:colOff>606097</xdr:colOff>
      <xdr:row>29</xdr:row>
      <xdr:rowOff>261507</xdr:rowOff>
    </xdr:to>
    <xdr:grpSp>
      <xdr:nvGrpSpPr>
        <xdr:cNvPr id="21" name="Группа 20"/>
        <xdr:cNvGrpSpPr>
          <a:grpSpLocks/>
        </xdr:cNvGrpSpPr>
      </xdr:nvGrpSpPr>
      <xdr:grpSpPr bwMode="auto">
        <a:xfrm>
          <a:off x="15295639" y="2321862"/>
          <a:ext cx="3913119" cy="7092811"/>
          <a:chOff x="12397014" y="2191223"/>
          <a:chExt cx="2951969" cy="5258274"/>
        </a:xfrm>
      </xdr:grpSpPr>
      <xdr:sp macro="" textlink="">
        <xdr:nvSpPr>
          <xdr:cNvPr id="22" name="TextBox 21"/>
          <xdr:cNvSpPr txBox="1">
            <a:spLocks noChangeArrowheads="1"/>
          </xdr:cNvSpPr>
        </xdr:nvSpPr>
        <xdr:spPr bwMode="auto">
          <a:xfrm>
            <a:off x="12397014" y="2191223"/>
            <a:ext cx="2951969" cy="5258274"/>
          </a:xfrm>
          <a:prstGeom prst="rect">
            <a:avLst/>
          </a:prstGeom>
          <a:solidFill>
            <a:srgbClr val="FFFFFF"/>
          </a:solidFill>
          <a:ln w="9525">
            <a:solidFill>
              <a:srgbClr val="C00000"/>
            </a:solidFill>
            <a:miter lim="800000"/>
            <a:headEnd/>
            <a:tailEnd/>
          </a:ln>
          <a:effectLst>
            <a:outerShdw blurRad="50800" dist="38100" dir="2700000" algn="tl" rotWithShape="0">
              <a:srgbClr val="000000">
                <a:alpha val="39999"/>
              </a:srgbClr>
            </a:outerShdw>
          </a:effectLst>
        </xdr:spPr>
        <xdr:txBody>
          <a:bodyPr vertOverflow="clip" wrap="square" lIns="27432" tIns="0" rIns="0" bIns="22860" anchor="ctr" upright="1"/>
          <a:lstStyle/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endParaRPr lang="ru-RU" sz="1600" b="1" i="0">
              <a:latin typeface="+mn-lt"/>
              <a:ea typeface="+mn-ea"/>
              <a:cs typeface="+mn-cs"/>
            </a:endParaRPr>
          </a:p>
          <a:p>
            <a:r>
              <a:rPr lang="ru-RU" sz="1800" b="1" i="0">
                <a:latin typeface="Arial" pitchFamily="34" charset="0"/>
                <a:ea typeface="+mn-ea"/>
                <a:cs typeface="Arial" pitchFamily="34" charset="0"/>
              </a:rPr>
              <a:t>Преимущества кровельной вентиляции </a:t>
            </a:r>
            <a:r>
              <a:rPr lang="en-US" sz="1800" b="1" i="1">
                <a:latin typeface="Arial" pitchFamily="34" charset="0"/>
                <a:ea typeface="+mn-ea"/>
                <a:cs typeface="Arial" pitchFamily="34" charset="0"/>
              </a:rPr>
              <a:t>KROVENT</a:t>
            </a:r>
            <a:r>
              <a:rPr lang="ru-RU" sz="1800" b="1" i="1">
                <a:latin typeface="Arial" pitchFamily="34" charset="0"/>
                <a:ea typeface="+mn-ea"/>
                <a:cs typeface="Arial" pitchFamily="34" charset="0"/>
              </a:rPr>
              <a:t>:</a:t>
            </a:r>
            <a:endParaRPr lang="en-US" sz="1800" b="1" i="0">
              <a:latin typeface="Arial" pitchFamily="34" charset="0"/>
              <a:ea typeface="+mn-ea"/>
              <a:cs typeface="Arial" pitchFamily="34" charset="0"/>
            </a:endParaRPr>
          </a:p>
          <a:p>
            <a: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  <a:t>- Использование только высококачественного сырья;</a:t>
            </a:r>
            <a:b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</a:br>
            <a: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  <a:t>- Отличная устойчивость к воздействию УФ-лучей;</a:t>
            </a:r>
            <a:b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</a:br>
            <a: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  <a:t>-</a:t>
            </a:r>
            <a:r>
              <a:rPr lang="ru-RU" sz="1800" b="0" i="0" baseline="0">
                <a:latin typeface="Arial" pitchFamily="34" charset="0"/>
                <a:ea typeface="+mn-ea"/>
                <a:cs typeface="Arial" pitchFamily="34" charset="0"/>
              </a:rPr>
              <a:t> </a:t>
            </a:r>
            <a: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  <a:t>Возможность эксплуатации при температуре от -45 до +80 С;</a:t>
            </a:r>
            <a:b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</a:br>
            <a: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  <a:t>- Полная герметичность конструкции;</a:t>
            </a:r>
            <a:b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</a:br>
            <a: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  <a:t>- Простота сборки и монтажа</a:t>
            </a:r>
            <a:b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</a:br>
            <a: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  <a:t>- Возможность установки под любым уклоном;</a:t>
            </a:r>
            <a:b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</a:br>
            <a:r>
              <a:rPr lang="ru-RU" sz="1800" b="0" i="0">
                <a:latin typeface="Arial" pitchFamily="34" charset="0"/>
                <a:ea typeface="+mn-ea"/>
                <a:cs typeface="Arial" pitchFamily="34" charset="0"/>
              </a:rPr>
              <a:t>- Гарантия на всю продукцию 3 года.</a:t>
            </a:r>
          </a:p>
        </xdr:txBody>
      </xdr:sp>
      <xdr:sp macro="" textlink="">
        <xdr:nvSpPr>
          <xdr:cNvPr id="23" name="TextBox 4"/>
          <xdr:cNvSpPr txBox="1">
            <a:spLocks noChangeArrowheads="1"/>
          </xdr:cNvSpPr>
        </xdr:nvSpPr>
        <xdr:spPr bwMode="auto">
          <a:xfrm>
            <a:off x="12412451" y="2206355"/>
            <a:ext cx="2921146" cy="514479"/>
          </a:xfrm>
          <a:prstGeom prst="rect">
            <a:avLst/>
          </a:prstGeom>
          <a:solidFill>
            <a:srgbClr val="C00000"/>
          </a:solidFill>
          <a:ln w="9525">
            <a:solidFill>
              <a:srgbClr val="BCBCBC"/>
            </a:solidFill>
            <a:miter lim="800000"/>
            <a:headEnd/>
            <a:tailEnd/>
          </a:ln>
        </xdr:spPr>
        <xdr:txBody>
          <a:bodyPr vertOverflow="clip" wrap="square" lIns="27432" tIns="27432" rIns="27432" bIns="27432" anchor="ctr" upright="1"/>
          <a:lstStyle/>
          <a:p>
            <a:pPr algn="ctr" rtl="0">
              <a:defRPr sz="1000"/>
            </a:pPr>
            <a:r>
              <a:rPr lang="ru-RU" sz="20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Кровельная вентиляция </a:t>
            </a:r>
            <a:r>
              <a:rPr lang="en-US" sz="2000" b="1" i="0" u="none" strike="noStrike" baseline="0">
                <a:solidFill>
                  <a:srgbClr val="FFFFFF"/>
                </a:solidFill>
                <a:latin typeface="Arial"/>
                <a:cs typeface="Arial"/>
              </a:rPr>
              <a:t>Krovent</a:t>
            </a:r>
          </a:p>
        </xdr:txBody>
      </xdr:sp>
    </xdr:grpSp>
    <xdr:clientData/>
  </xdr:twoCellAnchor>
  <xdr:twoCellAnchor editAs="oneCell">
    <xdr:from>
      <xdr:col>4</xdr:col>
      <xdr:colOff>142875</xdr:colOff>
      <xdr:row>9</xdr:row>
      <xdr:rowOff>142875</xdr:rowOff>
    </xdr:from>
    <xdr:to>
      <xdr:col>7</xdr:col>
      <xdr:colOff>19049</xdr:colOff>
      <xdr:row>14</xdr:row>
      <xdr:rowOff>257174</xdr:rowOff>
    </xdr:to>
    <xdr:pic>
      <xdr:nvPicPr>
        <xdr:cNvPr id="2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4363700" y="3219450"/>
          <a:ext cx="1714499" cy="1666874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28575</xdr:colOff>
      <xdr:row>13</xdr:row>
      <xdr:rowOff>123825</xdr:rowOff>
    </xdr:from>
    <xdr:to>
      <xdr:col>9</xdr:col>
      <xdr:colOff>466726</xdr:colOff>
      <xdr:row>17</xdr:row>
      <xdr:rowOff>9525</xdr:rowOff>
    </xdr:to>
    <xdr:pic>
      <xdr:nvPicPr>
        <xdr:cNvPr id="2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6087725" y="4438650"/>
          <a:ext cx="1657351" cy="12477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1104900</xdr:colOff>
      <xdr:row>63</xdr:row>
      <xdr:rowOff>95249</xdr:rowOff>
    </xdr:from>
    <xdr:to>
      <xdr:col>14</xdr:col>
      <xdr:colOff>6928</xdr:colOff>
      <xdr:row>64</xdr:row>
      <xdr:rowOff>1057</xdr:rowOff>
    </xdr:to>
    <xdr:pic>
      <xdr:nvPicPr>
        <xdr:cNvPr id="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20326350" y="20488274"/>
          <a:ext cx="6928" cy="239183"/>
        </a:xfrm>
        <a:prstGeom prst="rect">
          <a:avLst/>
        </a:prstGeom>
        <a:noFill/>
      </xdr:spPr>
    </xdr:pic>
    <xdr:clientData/>
  </xdr:twoCellAnchor>
  <xdr:twoCellAnchor editAs="oneCell">
    <xdr:from>
      <xdr:col>13</xdr:col>
      <xdr:colOff>1143001</xdr:colOff>
      <xdr:row>57</xdr:row>
      <xdr:rowOff>57586</xdr:rowOff>
    </xdr:from>
    <xdr:to>
      <xdr:col>14</xdr:col>
      <xdr:colOff>3786</xdr:colOff>
      <xdr:row>57</xdr:row>
      <xdr:rowOff>295275</xdr:rowOff>
    </xdr:to>
    <xdr:pic>
      <xdr:nvPicPr>
        <xdr:cNvPr id="27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 bwMode="auto">
        <a:xfrm>
          <a:off x="20326351" y="18412261"/>
          <a:ext cx="3785" cy="237689"/>
        </a:xfrm>
        <a:prstGeom prst="rect">
          <a:avLst/>
        </a:prstGeom>
        <a:noFill/>
      </xdr:spPr>
    </xdr:pic>
    <xdr:clientData/>
  </xdr:twoCellAnchor>
  <xdr:twoCellAnchor editAs="oneCell">
    <xdr:from>
      <xdr:col>13</xdr:col>
      <xdr:colOff>914400</xdr:colOff>
      <xdr:row>58</xdr:row>
      <xdr:rowOff>57150</xdr:rowOff>
    </xdr:from>
    <xdr:to>
      <xdr:col>14</xdr:col>
      <xdr:colOff>4337</xdr:colOff>
      <xdr:row>59</xdr:row>
      <xdr:rowOff>47624</xdr:rowOff>
    </xdr:to>
    <xdr:pic>
      <xdr:nvPicPr>
        <xdr:cNvPr id="2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 bwMode="auto">
        <a:xfrm>
          <a:off x="20326350" y="18745200"/>
          <a:ext cx="4337" cy="36194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647700</xdr:colOff>
      <xdr:row>60</xdr:row>
      <xdr:rowOff>57150</xdr:rowOff>
    </xdr:from>
    <xdr:to>
      <xdr:col>0</xdr:col>
      <xdr:colOff>1600200</xdr:colOff>
      <xdr:row>62</xdr:row>
      <xdr:rowOff>264319</xdr:rowOff>
    </xdr:to>
    <xdr:pic>
      <xdr:nvPicPr>
        <xdr:cNvPr id="2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47700" y="19450050"/>
          <a:ext cx="952500" cy="8739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467592</xdr:colOff>
      <xdr:row>79</xdr:row>
      <xdr:rowOff>73953</xdr:rowOff>
    </xdr:from>
    <xdr:to>
      <xdr:col>0</xdr:col>
      <xdr:colOff>1766455</xdr:colOff>
      <xdr:row>79</xdr:row>
      <xdr:rowOff>448401</xdr:rowOff>
    </xdr:to>
    <xdr:pic>
      <xdr:nvPicPr>
        <xdr:cNvPr id="30" name="Рисунок 39" descr="герметик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67592" y="25172328"/>
          <a:ext cx="1298863" cy="37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779319</xdr:colOff>
      <xdr:row>80</xdr:row>
      <xdr:rowOff>90015</xdr:rowOff>
    </xdr:from>
    <xdr:to>
      <xdr:col>0</xdr:col>
      <xdr:colOff>1472045</xdr:colOff>
      <xdr:row>80</xdr:row>
      <xdr:rowOff>452871</xdr:rowOff>
    </xdr:to>
    <xdr:pic>
      <xdr:nvPicPr>
        <xdr:cNvPr id="31" name="Picture 10627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779319" y="25750365"/>
          <a:ext cx="692726" cy="362856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5917436</xdr:colOff>
      <xdr:row>5</xdr:row>
      <xdr:rowOff>69272</xdr:rowOff>
    </xdr:to>
    <xdr:pic>
      <xdr:nvPicPr>
        <xdr:cNvPr id="3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0"/>
          <a:ext cx="8193911" cy="1774247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34637</xdr:colOff>
      <xdr:row>29</xdr:row>
      <xdr:rowOff>277092</xdr:rowOff>
    </xdr:from>
    <xdr:to>
      <xdr:col>10</xdr:col>
      <xdr:colOff>0</xdr:colOff>
      <xdr:row>38</xdr:row>
      <xdr:rowOff>289314</xdr:rowOff>
    </xdr:to>
    <xdr:pic>
      <xdr:nvPicPr>
        <xdr:cNvPr id="409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4252864" y="9715501"/>
          <a:ext cx="3619500" cy="280044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796636</xdr:colOff>
      <xdr:row>77</xdr:row>
      <xdr:rowOff>86590</xdr:rowOff>
    </xdr:from>
    <xdr:to>
      <xdr:col>0</xdr:col>
      <xdr:colOff>1610591</xdr:colOff>
      <xdr:row>77</xdr:row>
      <xdr:rowOff>952500</xdr:rowOff>
    </xdr:to>
    <xdr:pic>
      <xdr:nvPicPr>
        <xdr:cNvPr id="33" name="Рисунок 32" descr="\\serv6\Входящие факсы\Кожина Е\Уплотнитель гидрозатвора .jpg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36" y="25076726"/>
          <a:ext cx="813955" cy="86591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8305332</xdr:colOff>
      <xdr:row>7</xdr:row>
      <xdr:rowOff>71437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8305332" cy="1785937"/>
        </a:xfrm>
        <a:prstGeom prst="rect">
          <a:avLst/>
        </a:prstGeom>
        <a:noFill/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43</xdr:row>
      <xdr:rowOff>28575</xdr:rowOff>
    </xdr:from>
    <xdr:to>
      <xdr:col>0</xdr:col>
      <xdr:colOff>876300</xdr:colOff>
      <xdr:row>50</xdr:row>
      <xdr:rowOff>123825</xdr:rowOff>
    </xdr:to>
    <xdr:pic>
      <xdr:nvPicPr>
        <xdr:cNvPr id="2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2127" r="1701"/>
        <a:stretch>
          <a:fillRect/>
        </a:stretch>
      </xdr:blipFill>
      <xdr:spPr bwMode="auto">
        <a:xfrm>
          <a:off x="66675" y="12573000"/>
          <a:ext cx="809625" cy="1209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971550</xdr:colOff>
      <xdr:row>43</xdr:row>
      <xdr:rowOff>19050</xdr:rowOff>
    </xdr:from>
    <xdr:to>
      <xdr:col>1</xdr:col>
      <xdr:colOff>409575</xdr:colOff>
      <xdr:row>50</xdr:row>
      <xdr:rowOff>114300</xdr:rowOff>
    </xdr:to>
    <xdr:pic>
      <xdr:nvPicPr>
        <xdr:cNvPr id="3" name="Рисунок 2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971550" y="12563475"/>
          <a:ext cx="828675" cy="1209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</xdr:colOff>
      <xdr:row>10</xdr:row>
      <xdr:rowOff>76200</xdr:rowOff>
    </xdr:from>
    <xdr:to>
      <xdr:col>0</xdr:col>
      <xdr:colOff>1371600</xdr:colOff>
      <xdr:row>11</xdr:row>
      <xdr:rowOff>457200</xdr:rowOff>
    </xdr:to>
    <xdr:pic>
      <xdr:nvPicPr>
        <xdr:cNvPr id="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9050" y="1724025"/>
          <a:ext cx="1352550" cy="942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</xdr:colOff>
      <xdr:row>32</xdr:row>
      <xdr:rowOff>123825</xdr:rowOff>
    </xdr:from>
    <xdr:to>
      <xdr:col>0</xdr:col>
      <xdr:colOff>1352550</xdr:colOff>
      <xdr:row>33</xdr:row>
      <xdr:rowOff>361950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7625" y="8515350"/>
          <a:ext cx="1304925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4</xdr:col>
      <xdr:colOff>200026</xdr:colOff>
      <xdr:row>5</xdr:row>
      <xdr:rowOff>39856</xdr:rowOff>
    </xdr:to>
    <xdr:pic>
      <xdr:nvPicPr>
        <xdr:cNvPr id="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" y="0"/>
          <a:ext cx="4248150" cy="925681"/>
        </a:xfrm>
        <a:prstGeom prst="rect">
          <a:avLst/>
        </a:prstGeom>
        <a:noFill/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323850</xdr:colOff>
      <xdr:row>15</xdr:row>
      <xdr:rowOff>38100</xdr:rowOff>
    </xdr:from>
    <xdr:to>
      <xdr:col>2</xdr:col>
      <xdr:colOff>1314450</xdr:colOff>
      <xdr:row>16</xdr:row>
      <xdr:rowOff>333375</xdr:rowOff>
    </xdr:to>
    <xdr:pic>
      <xdr:nvPicPr>
        <xdr:cNvPr id="2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438400" y="4000500"/>
          <a:ext cx="990600" cy="67627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400050</xdr:colOff>
      <xdr:row>17</xdr:row>
      <xdr:rowOff>38100</xdr:rowOff>
    </xdr:from>
    <xdr:to>
      <xdr:col>2</xdr:col>
      <xdr:colOff>1228725</xdr:colOff>
      <xdr:row>18</xdr:row>
      <xdr:rowOff>228600</xdr:rowOff>
    </xdr:to>
    <xdr:pic>
      <xdr:nvPicPr>
        <xdr:cNvPr id="3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514600" y="4762500"/>
          <a:ext cx="828675" cy="45720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361950</xdr:colOff>
      <xdr:row>21</xdr:row>
      <xdr:rowOff>66675</xdr:rowOff>
    </xdr:from>
    <xdr:to>
      <xdr:col>2</xdr:col>
      <xdr:colOff>1266825</xdr:colOff>
      <xdr:row>22</xdr:row>
      <xdr:rowOff>266700</xdr:rowOff>
    </xdr:to>
    <xdr:pic>
      <xdr:nvPicPr>
        <xdr:cNvPr id="4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476500" y="6086475"/>
          <a:ext cx="904875" cy="55245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133350</xdr:colOff>
      <xdr:row>23</xdr:row>
      <xdr:rowOff>47625</xdr:rowOff>
    </xdr:from>
    <xdr:to>
      <xdr:col>2</xdr:col>
      <xdr:colOff>666750</xdr:colOff>
      <xdr:row>24</xdr:row>
      <xdr:rowOff>76200</xdr:rowOff>
    </xdr:to>
    <xdr:pic>
      <xdr:nvPicPr>
        <xdr:cNvPr id="5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247900" y="6772275"/>
          <a:ext cx="533400" cy="36195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771525</xdr:colOff>
      <xdr:row>23</xdr:row>
      <xdr:rowOff>47625</xdr:rowOff>
    </xdr:from>
    <xdr:to>
      <xdr:col>2</xdr:col>
      <xdr:colOff>1304925</xdr:colOff>
      <xdr:row>24</xdr:row>
      <xdr:rowOff>76200</xdr:rowOff>
    </xdr:to>
    <xdr:pic>
      <xdr:nvPicPr>
        <xdr:cNvPr id="6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886075" y="6772275"/>
          <a:ext cx="533400" cy="36195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171450</xdr:colOff>
      <xdr:row>25</xdr:row>
      <xdr:rowOff>190500</xdr:rowOff>
    </xdr:from>
    <xdr:to>
      <xdr:col>2</xdr:col>
      <xdr:colOff>638175</xdr:colOff>
      <xdr:row>26</xdr:row>
      <xdr:rowOff>238125</xdr:rowOff>
    </xdr:to>
    <xdr:pic>
      <xdr:nvPicPr>
        <xdr:cNvPr id="7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2286000" y="7581900"/>
          <a:ext cx="466725" cy="38100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790575</xdr:colOff>
      <xdr:row>24</xdr:row>
      <xdr:rowOff>104775</xdr:rowOff>
    </xdr:from>
    <xdr:to>
      <xdr:col>2</xdr:col>
      <xdr:colOff>1304925</xdr:colOff>
      <xdr:row>25</xdr:row>
      <xdr:rowOff>114300</xdr:rowOff>
    </xdr:to>
    <xdr:pic>
      <xdr:nvPicPr>
        <xdr:cNvPr id="8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905125" y="7162800"/>
          <a:ext cx="514350" cy="34290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133350</xdr:colOff>
      <xdr:row>24</xdr:row>
      <xdr:rowOff>104775</xdr:rowOff>
    </xdr:from>
    <xdr:to>
      <xdr:col>2</xdr:col>
      <xdr:colOff>685800</xdr:colOff>
      <xdr:row>25</xdr:row>
      <xdr:rowOff>142875</xdr:rowOff>
    </xdr:to>
    <xdr:pic>
      <xdr:nvPicPr>
        <xdr:cNvPr id="9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247900" y="7162800"/>
          <a:ext cx="552450" cy="37147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57150</xdr:colOff>
      <xdr:row>6</xdr:row>
      <xdr:rowOff>152400</xdr:rowOff>
    </xdr:from>
    <xdr:to>
      <xdr:col>2</xdr:col>
      <xdr:colOff>666750</xdr:colOff>
      <xdr:row>8</xdr:row>
      <xdr:rowOff>104775</xdr:rowOff>
    </xdr:to>
    <xdr:pic>
      <xdr:nvPicPr>
        <xdr:cNvPr id="10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171700" y="1466850"/>
          <a:ext cx="609600" cy="56197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666750</xdr:colOff>
      <xdr:row>6</xdr:row>
      <xdr:rowOff>171450</xdr:rowOff>
    </xdr:from>
    <xdr:to>
      <xdr:col>2</xdr:col>
      <xdr:colOff>1276350</xdr:colOff>
      <xdr:row>8</xdr:row>
      <xdr:rowOff>152400</xdr:rowOff>
    </xdr:to>
    <xdr:pic>
      <xdr:nvPicPr>
        <xdr:cNvPr id="11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781300" y="1485900"/>
          <a:ext cx="609600" cy="59055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1276350</xdr:colOff>
      <xdr:row>6</xdr:row>
      <xdr:rowOff>190500</xdr:rowOff>
    </xdr:from>
    <xdr:to>
      <xdr:col>3</xdr:col>
      <xdr:colOff>190500</xdr:colOff>
      <xdr:row>8</xdr:row>
      <xdr:rowOff>180975</xdr:rowOff>
    </xdr:to>
    <xdr:pic>
      <xdr:nvPicPr>
        <xdr:cNvPr id="12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3390900" y="1504950"/>
          <a:ext cx="647700" cy="60007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66675</xdr:colOff>
      <xdr:row>9</xdr:row>
      <xdr:rowOff>276225</xdr:rowOff>
    </xdr:from>
    <xdr:to>
      <xdr:col>2</xdr:col>
      <xdr:colOff>638175</xdr:colOff>
      <xdr:row>12</xdr:row>
      <xdr:rowOff>66675</xdr:rowOff>
    </xdr:to>
    <xdr:pic>
      <xdr:nvPicPr>
        <xdr:cNvPr id="13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181225" y="2562225"/>
          <a:ext cx="571500" cy="54292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771525</xdr:colOff>
      <xdr:row>10</xdr:row>
      <xdr:rowOff>9525</xdr:rowOff>
    </xdr:from>
    <xdr:to>
      <xdr:col>2</xdr:col>
      <xdr:colOff>1343025</xdr:colOff>
      <xdr:row>12</xdr:row>
      <xdr:rowOff>76200</xdr:rowOff>
    </xdr:to>
    <xdr:pic>
      <xdr:nvPicPr>
        <xdr:cNvPr id="14" name="Рисунок 18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2886075" y="2571750"/>
          <a:ext cx="571500" cy="542925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2</xdr:col>
      <xdr:colOff>1409700</xdr:colOff>
      <xdr:row>10</xdr:row>
      <xdr:rowOff>19050</xdr:rowOff>
    </xdr:from>
    <xdr:to>
      <xdr:col>3</xdr:col>
      <xdr:colOff>238125</xdr:colOff>
      <xdr:row>12</xdr:row>
      <xdr:rowOff>76200</xdr:rowOff>
    </xdr:to>
    <xdr:pic>
      <xdr:nvPicPr>
        <xdr:cNvPr id="15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524250" y="2581275"/>
          <a:ext cx="561975" cy="53340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3</xdr:col>
      <xdr:colOff>323850</xdr:colOff>
      <xdr:row>9</xdr:row>
      <xdr:rowOff>295275</xdr:rowOff>
    </xdr:from>
    <xdr:to>
      <xdr:col>3</xdr:col>
      <xdr:colOff>895350</xdr:colOff>
      <xdr:row>12</xdr:row>
      <xdr:rowOff>76200</xdr:rowOff>
    </xdr:to>
    <xdr:pic>
      <xdr:nvPicPr>
        <xdr:cNvPr id="16" name="Рисунок 2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171950" y="2562225"/>
          <a:ext cx="571500" cy="55245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3</xdr:col>
      <xdr:colOff>1009650</xdr:colOff>
      <xdr:row>9</xdr:row>
      <xdr:rowOff>295275</xdr:rowOff>
    </xdr:from>
    <xdr:to>
      <xdr:col>3</xdr:col>
      <xdr:colOff>1581150</xdr:colOff>
      <xdr:row>12</xdr:row>
      <xdr:rowOff>57150</xdr:rowOff>
    </xdr:to>
    <xdr:pic>
      <xdr:nvPicPr>
        <xdr:cNvPr id="17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4857750" y="2562225"/>
          <a:ext cx="571500" cy="53340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180975</xdr:colOff>
      <xdr:row>41</xdr:row>
      <xdr:rowOff>47625</xdr:rowOff>
    </xdr:from>
    <xdr:to>
      <xdr:col>0</xdr:col>
      <xdr:colOff>1152525</xdr:colOff>
      <xdr:row>45</xdr:row>
      <xdr:rowOff>47625</xdr:rowOff>
    </xdr:to>
    <xdr:pic>
      <xdr:nvPicPr>
        <xdr:cNvPr id="18" name="Picture 4132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80975" y="12363450"/>
          <a:ext cx="971550" cy="102870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95250</xdr:rowOff>
    </xdr:from>
    <xdr:to>
      <xdr:col>2</xdr:col>
      <xdr:colOff>657225</xdr:colOff>
      <xdr:row>4</xdr:row>
      <xdr:rowOff>28575</xdr:rowOff>
    </xdr:to>
    <xdr:pic>
      <xdr:nvPicPr>
        <xdr:cNvPr id="19" name="Picture 2110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57175"/>
          <a:ext cx="28765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266700</xdr:colOff>
      <xdr:row>29</xdr:row>
      <xdr:rowOff>28575</xdr:rowOff>
    </xdr:from>
    <xdr:to>
      <xdr:col>2</xdr:col>
      <xdr:colOff>1009650</xdr:colOff>
      <xdr:row>30</xdr:row>
      <xdr:rowOff>190500</xdr:rowOff>
    </xdr:to>
    <xdr:pic>
      <xdr:nvPicPr>
        <xdr:cNvPr id="20" name="Picture 15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381250" y="8639175"/>
          <a:ext cx="74295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33</xdr:row>
      <xdr:rowOff>38100</xdr:rowOff>
    </xdr:from>
    <xdr:to>
      <xdr:col>2</xdr:col>
      <xdr:colOff>1009650</xdr:colOff>
      <xdr:row>33</xdr:row>
      <xdr:rowOff>466725</xdr:rowOff>
    </xdr:to>
    <xdr:pic>
      <xdr:nvPicPr>
        <xdr:cNvPr id="21" name="Picture 16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2400300" y="9753600"/>
          <a:ext cx="723900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31</xdr:row>
      <xdr:rowOff>38100</xdr:rowOff>
    </xdr:from>
    <xdr:to>
      <xdr:col>2</xdr:col>
      <xdr:colOff>1019175</xdr:colOff>
      <xdr:row>32</xdr:row>
      <xdr:rowOff>200025</xdr:rowOff>
    </xdr:to>
    <xdr:pic>
      <xdr:nvPicPr>
        <xdr:cNvPr id="22" name="Picture 15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2390775" y="9201150"/>
          <a:ext cx="74295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27</xdr:row>
      <xdr:rowOff>28575</xdr:rowOff>
    </xdr:from>
    <xdr:to>
      <xdr:col>2</xdr:col>
      <xdr:colOff>1019175</xdr:colOff>
      <xdr:row>28</xdr:row>
      <xdr:rowOff>228600</xdr:rowOff>
    </xdr:to>
    <xdr:pic>
      <xdr:nvPicPr>
        <xdr:cNvPr id="23" name="Picture 15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2390775" y="8086725"/>
          <a:ext cx="742950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</xdr:colOff>
      <xdr:row>34</xdr:row>
      <xdr:rowOff>19050</xdr:rowOff>
    </xdr:from>
    <xdr:to>
      <xdr:col>2</xdr:col>
      <xdr:colOff>1066800</xdr:colOff>
      <xdr:row>34</xdr:row>
      <xdr:rowOff>400050</xdr:rowOff>
    </xdr:to>
    <xdr:pic>
      <xdr:nvPicPr>
        <xdr:cNvPr id="24" name="Picture 16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2428875" y="10229850"/>
          <a:ext cx="7524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762000</xdr:colOff>
      <xdr:row>25</xdr:row>
      <xdr:rowOff>200025</xdr:rowOff>
    </xdr:from>
    <xdr:to>
      <xdr:col>2</xdr:col>
      <xdr:colOff>1314450</xdr:colOff>
      <xdr:row>26</xdr:row>
      <xdr:rowOff>238125</xdr:rowOff>
    </xdr:to>
    <xdr:pic>
      <xdr:nvPicPr>
        <xdr:cNvPr id="25" name="Picture 296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2876550" y="7591425"/>
          <a:ext cx="5524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238125</xdr:colOff>
      <xdr:row>6</xdr:row>
      <xdr:rowOff>180975</xdr:rowOff>
    </xdr:from>
    <xdr:to>
      <xdr:col>3</xdr:col>
      <xdr:colOff>866775</xdr:colOff>
      <xdr:row>8</xdr:row>
      <xdr:rowOff>161925</xdr:rowOff>
    </xdr:to>
    <xdr:pic>
      <xdr:nvPicPr>
        <xdr:cNvPr id="46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086225" y="1495425"/>
          <a:ext cx="628650" cy="59055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3</xdr:col>
      <xdr:colOff>962025</xdr:colOff>
      <xdr:row>6</xdr:row>
      <xdr:rowOff>190500</xdr:rowOff>
    </xdr:from>
    <xdr:to>
      <xdr:col>3</xdr:col>
      <xdr:colOff>1562100</xdr:colOff>
      <xdr:row>8</xdr:row>
      <xdr:rowOff>161925</xdr:rowOff>
    </xdr:to>
    <xdr:pic>
      <xdr:nvPicPr>
        <xdr:cNvPr id="47" name="Picture 15791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810125" y="1504950"/>
          <a:ext cx="60007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333375</xdr:colOff>
      <xdr:row>19</xdr:row>
      <xdr:rowOff>76200</xdr:rowOff>
    </xdr:from>
    <xdr:to>
      <xdr:col>2</xdr:col>
      <xdr:colOff>1343025</xdr:colOff>
      <xdr:row>20</xdr:row>
      <xdr:rowOff>295275</xdr:rowOff>
    </xdr:to>
    <xdr:pic>
      <xdr:nvPicPr>
        <xdr:cNvPr id="48" name="Picture 15654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2447925" y="5334000"/>
          <a:ext cx="1009650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633415</xdr:colOff>
      <xdr:row>14</xdr:row>
      <xdr:rowOff>100011</xdr:rowOff>
    </xdr:from>
    <xdr:to>
      <xdr:col>0</xdr:col>
      <xdr:colOff>1454152</xdr:colOff>
      <xdr:row>14</xdr:row>
      <xdr:rowOff>1095373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>
          <a:off x="633415" y="7824786"/>
          <a:ext cx="820737" cy="995362"/>
        </a:xfrm>
        <a:prstGeom prst="rect">
          <a:avLst/>
        </a:prstGeom>
        <a:noFill/>
        <a:ln w="317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0</xdr:col>
      <xdr:colOff>561975</xdr:colOff>
      <xdr:row>19</xdr:row>
      <xdr:rowOff>61912</xdr:rowOff>
    </xdr:from>
    <xdr:to>
      <xdr:col>0</xdr:col>
      <xdr:colOff>1524000</xdr:colOff>
      <xdr:row>19</xdr:row>
      <xdr:rowOff>1052512</xdr:rowOff>
    </xdr:to>
    <xdr:pic>
      <xdr:nvPicPr>
        <xdr:cNvPr id="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561975" y="13568362"/>
          <a:ext cx="962025" cy="990600"/>
        </a:xfrm>
        <a:prstGeom prst="rect">
          <a:avLst/>
        </a:prstGeom>
        <a:noFill/>
        <a:ln w="317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0</xdr:col>
      <xdr:colOff>681036</xdr:colOff>
      <xdr:row>20</xdr:row>
      <xdr:rowOff>104774</xdr:rowOff>
    </xdr:from>
    <xdr:to>
      <xdr:col>0</xdr:col>
      <xdr:colOff>1476374</xdr:colOff>
      <xdr:row>21</xdr:row>
      <xdr:rowOff>209457</xdr:rowOff>
    </xdr:to>
    <xdr:pic>
      <xdr:nvPicPr>
        <xdr:cNvPr id="4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681036" y="14735174"/>
          <a:ext cx="795338" cy="1276258"/>
        </a:xfrm>
        <a:prstGeom prst="rect">
          <a:avLst/>
        </a:prstGeom>
        <a:noFill/>
        <a:ln w="317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0</xdr:col>
      <xdr:colOff>419098</xdr:colOff>
      <xdr:row>24</xdr:row>
      <xdr:rowOff>223832</xdr:rowOff>
    </xdr:from>
    <xdr:to>
      <xdr:col>0</xdr:col>
      <xdr:colOff>1568349</xdr:colOff>
      <xdr:row>26</xdr:row>
      <xdr:rowOff>95244</xdr:rowOff>
    </xdr:to>
    <xdr:pic>
      <xdr:nvPicPr>
        <xdr:cNvPr id="5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419098" y="17959382"/>
          <a:ext cx="1149251" cy="1300162"/>
        </a:xfrm>
        <a:prstGeom prst="rect">
          <a:avLst/>
        </a:prstGeom>
        <a:noFill/>
        <a:ln w="317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0</xdr:col>
      <xdr:colOff>533401</xdr:colOff>
      <xdr:row>27</xdr:row>
      <xdr:rowOff>176213</xdr:rowOff>
    </xdr:from>
    <xdr:to>
      <xdr:col>0</xdr:col>
      <xdr:colOff>1714501</xdr:colOff>
      <xdr:row>29</xdr:row>
      <xdr:rowOff>179978</xdr:rowOff>
    </xdr:to>
    <xdr:pic>
      <xdr:nvPicPr>
        <xdr:cNvPr id="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533401" y="19816763"/>
          <a:ext cx="1181100" cy="1356315"/>
        </a:xfrm>
        <a:prstGeom prst="rect">
          <a:avLst/>
        </a:prstGeom>
        <a:noFill/>
        <a:ln w="317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0</xdr:col>
      <xdr:colOff>628653</xdr:colOff>
      <xdr:row>12</xdr:row>
      <xdr:rowOff>51658</xdr:rowOff>
    </xdr:from>
    <xdr:to>
      <xdr:col>0</xdr:col>
      <xdr:colOff>1547812</xdr:colOff>
      <xdr:row>12</xdr:row>
      <xdr:rowOff>1095375</xdr:rowOff>
    </xdr:to>
    <xdr:pic>
      <xdr:nvPicPr>
        <xdr:cNvPr id="7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628653" y="5452333"/>
          <a:ext cx="919159" cy="1043717"/>
        </a:xfrm>
        <a:prstGeom prst="rect">
          <a:avLst/>
        </a:prstGeom>
        <a:noFill/>
        <a:ln w="317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0</xdr:col>
      <xdr:colOff>747709</xdr:colOff>
      <xdr:row>34</xdr:row>
      <xdr:rowOff>9525</xdr:rowOff>
    </xdr:from>
    <xdr:to>
      <xdr:col>0</xdr:col>
      <xdr:colOff>1571621</xdr:colOff>
      <xdr:row>34</xdr:row>
      <xdr:rowOff>943263</xdr:rowOff>
    </xdr:to>
    <xdr:pic>
      <xdr:nvPicPr>
        <xdr:cNvPr id="8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747709" y="24031575"/>
          <a:ext cx="823912" cy="933738"/>
        </a:xfrm>
        <a:prstGeom prst="rect">
          <a:avLst/>
        </a:prstGeom>
        <a:noFill/>
        <a:ln w="317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0</xdr:col>
      <xdr:colOff>585786</xdr:colOff>
      <xdr:row>15</xdr:row>
      <xdr:rowOff>114300</xdr:rowOff>
    </xdr:from>
    <xdr:to>
      <xdr:col>0</xdr:col>
      <xdr:colOff>1595436</xdr:colOff>
      <xdr:row>15</xdr:row>
      <xdr:rowOff>1040508</xdr:rowOff>
    </xdr:to>
    <xdr:pic>
      <xdr:nvPicPr>
        <xdr:cNvPr id="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585786" y="9010650"/>
          <a:ext cx="1009650" cy="9262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985834</xdr:colOff>
      <xdr:row>45</xdr:row>
      <xdr:rowOff>19050</xdr:rowOff>
    </xdr:from>
    <xdr:to>
      <xdr:col>0</xdr:col>
      <xdr:colOff>1347784</xdr:colOff>
      <xdr:row>45</xdr:row>
      <xdr:rowOff>1143001</xdr:rowOff>
    </xdr:to>
    <xdr:pic>
      <xdr:nvPicPr>
        <xdr:cNvPr id="10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985834" y="36556950"/>
          <a:ext cx="361950" cy="11239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790578</xdr:colOff>
      <xdr:row>40</xdr:row>
      <xdr:rowOff>85726</xdr:rowOff>
    </xdr:from>
    <xdr:to>
      <xdr:col>0</xdr:col>
      <xdr:colOff>1392106</xdr:colOff>
      <xdr:row>40</xdr:row>
      <xdr:rowOff>1071564</xdr:rowOff>
    </xdr:to>
    <xdr:pic>
      <xdr:nvPicPr>
        <xdr:cNvPr id="11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 bwMode="auto">
        <a:xfrm>
          <a:off x="790578" y="30765751"/>
          <a:ext cx="601528" cy="985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714375</xdr:colOff>
      <xdr:row>52</xdr:row>
      <xdr:rowOff>42862</xdr:rowOff>
    </xdr:from>
    <xdr:to>
      <xdr:col>0</xdr:col>
      <xdr:colOff>1333500</xdr:colOff>
      <xdr:row>52</xdr:row>
      <xdr:rowOff>1071562</xdr:rowOff>
    </xdr:to>
    <xdr:pic>
      <xdr:nvPicPr>
        <xdr:cNvPr id="12" name="Picture 29" descr="Безимени-1"/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 bwMode="auto">
        <a:xfrm>
          <a:off x="714375" y="44705587"/>
          <a:ext cx="619125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814387</xdr:colOff>
      <xdr:row>54</xdr:row>
      <xdr:rowOff>38100</xdr:rowOff>
    </xdr:from>
    <xdr:to>
      <xdr:col>0</xdr:col>
      <xdr:colOff>1179691</xdr:colOff>
      <xdr:row>55</xdr:row>
      <xdr:rowOff>23812</xdr:rowOff>
    </xdr:to>
    <xdr:pic>
      <xdr:nvPicPr>
        <xdr:cNvPr id="13" name="Picture 30" descr="Безимени-2"/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 bwMode="auto">
        <a:xfrm>
          <a:off x="814387" y="46967775"/>
          <a:ext cx="365304" cy="1062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585788</xdr:colOff>
      <xdr:row>16</xdr:row>
      <xdr:rowOff>47624</xdr:rowOff>
    </xdr:from>
    <xdr:to>
      <xdr:col>0</xdr:col>
      <xdr:colOff>1576388</xdr:colOff>
      <xdr:row>16</xdr:row>
      <xdr:rowOff>1038224</xdr:rowOff>
    </xdr:to>
    <xdr:pic>
      <xdr:nvPicPr>
        <xdr:cNvPr id="14" name="Picture 126"/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 bwMode="auto">
        <a:xfrm>
          <a:off x="585788" y="10115549"/>
          <a:ext cx="990600" cy="9906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561975</xdr:colOff>
      <xdr:row>17</xdr:row>
      <xdr:rowOff>61912</xdr:rowOff>
    </xdr:from>
    <xdr:to>
      <xdr:col>0</xdr:col>
      <xdr:colOff>1562100</xdr:colOff>
      <xdr:row>17</xdr:row>
      <xdr:rowOff>1023937</xdr:rowOff>
    </xdr:to>
    <xdr:pic>
      <xdr:nvPicPr>
        <xdr:cNvPr id="15" name="Рисунок 21"/>
        <xdr:cNvPicPr>
          <a:picLocks noChangeAspect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 bwMode="auto">
        <a:xfrm>
          <a:off x="561975" y="11225212"/>
          <a:ext cx="1000125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623888</xdr:colOff>
      <xdr:row>35</xdr:row>
      <xdr:rowOff>73580</xdr:rowOff>
    </xdr:from>
    <xdr:to>
      <xdr:col>0</xdr:col>
      <xdr:colOff>1595437</xdr:colOff>
      <xdr:row>35</xdr:row>
      <xdr:rowOff>1057274</xdr:rowOff>
    </xdr:to>
    <xdr:pic>
      <xdr:nvPicPr>
        <xdr:cNvPr id="16" name="Picture 311"/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 bwMode="auto">
        <a:xfrm>
          <a:off x="623888" y="25124330"/>
          <a:ext cx="971549" cy="9836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619125</xdr:colOff>
      <xdr:row>53</xdr:row>
      <xdr:rowOff>28573</xdr:rowOff>
    </xdr:from>
    <xdr:to>
      <xdr:col>0</xdr:col>
      <xdr:colOff>1374227</xdr:colOff>
      <xdr:row>53</xdr:row>
      <xdr:rowOff>1023935</xdr:rowOff>
    </xdr:to>
    <xdr:pic>
      <xdr:nvPicPr>
        <xdr:cNvPr id="17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 bwMode="auto">
        <a:xfrm>
          <a:off x="619125" y="45786673"/>
          <a:ext cx="755102" cy="9953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619123</xdr:colOff>
      <xdr:row>36</xdr:row>
      <xdr:rowOff>47624</xdr:rowOff>
    </xdr:from>
    <xdr:to>
      <xdr:col>0</xdr:col>
      <xdr:colOff>1671926</xdr:colOff>
      <xdr:row>36</xdr:row>
      <xdr:rowOff>1109662</xdr:rowOff>
    </xdr:to>
    <xdr:pic>
      <xdr:nvPicPr>
        <xdr:cNvPr id="18" name="Picture 1738"/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 bwMode="auto">
        <a:xfrm>
          <a:off x="619123" y="26193749"/>
          <a:ext cx="1052803" cy="1062038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857255</xdr:colOff>
      <xdr:row>37</xdr:row>
      <xdr:rowOff>53970</xdr:rowOff>
    </xdr:from>
    <xdr:to>
      <xdr:col>0</xdr:col>
      <xdr:colOff>1404943</xdr:colOff>
      <xdr:row>37</xdr:row>
      <xdr:rowOff>942971</xdr:rowOff>
    </xdr:to>
    <xdr:pic>
      <xdr:nvPicPr>
        <xdr:cNvPr id="19" name="Picture 1739"/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 bwMode="auto">
        <a:xfrm>
          <a:off x="857255" y="27343095"/>
          <a:ext cx="547688" cy="88900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509590</xdr:colOff>
      <xdr:row>38</xdr:row>
      <xdr:rowOff>66676</xdr:rowOff>
    </xdr:from>
    <xdr:to>
      <xdr:col>0</xdr:col>
      <xdr:colOff>1643065</xdr:colOff>
      <xdr:row>38</xdr:row>
      <xdr:rowOff>1034489</xdr:rowOff>
    </xdr:to>
    <xdr:pic>
      <xdr:nvPicPr>
        <xdr:cNvPr id="20" name="Picture 1740"/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 bwMode="auto">
        <a:xfrm>
          <a:off x="509590" y="28527376"/>
          <a:ext cx="1133475" cy="967813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766762</xdr:colOff>
      <xdr:row>39</xdr:row>
      <xdr:rowOff>47625</xdr:rowOff>
    </xdr:from>
    <xdr:to>
      <xdr:col>0</xdr:col>
      <xdr:colOff>1394221</xdr:colOff>
      <xdr:row>39</xdr:row>
      <xdr:rowOff>1081087</xdr:rowOff>
    </xdr:to>
    <xdr:pic>
      <xdr:nvPicPr>
        <xdr:cNvPr id="21" name="Picture 1741"/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 bwMode="auto">
        <a:xfrm>
          <a:off x="766762" y="29632275"/>
          <a:ext cx="627459" cy="1033462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714374</xdr:colOff>
      <xdr:row>47</xdr:row>
      <xdr:rowOff>95250</xdr:rowOff>
    </xdr:from>
    <xdr:to>
      <xdr:col>0</xdr:col>
      <xdr:colOff>1404938</xdr:colOff>
      <xdr:row>47</xdr:row>
      <xdr:rowOff>1065536</xdr:rowOff>
    </xdr:to>
    <xdr:pic>
      <xdr:nvPicPr>
        <xdr:cNvPr id="22" name="Рисунок 26" descr="Стенд Amerika А1.jpg"/>
        <xdr:cNvPicPr>
          <a:picLocks noChangeAspect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 bwMode="auto">
        <a:xfrm>
          <a:off x="714374" y="38976300"/>
          <a:ext cx="690564" cy="9702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481010</xdr:colOff>
      <xdr:row>49</xdr:row>
      <xdr:rowOff>28575</xdr:rowOff>
    </xdr:from>
    <xdr:to>
      <xdr:col>0</xdr:col>
      <xdr:colOff>1576385</xdr:colOff>
      <xdr:row>49</xdr:row>
      <xdr:rowOff>1152525</xdr:rowOff>
    </xdr:to>
    <xdr:pic>
      <xdr:nvPicPr>
        <xdr:cNvPr id="23" name="Рисунок 22" descr="32.jpg"/>
        <xdr:cNvPicPr>
          <a:picLocks noChangeAspect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 bwMode="auto">
        <a:xfrm>
          <a:off x="481010" y="41252775"/>
          <a:ext cx="10953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623887</xdr:colOff>
      <xdr:row>13</xdr:row>
      <xdr:rowOff>76200</xdr:rowOff>
    </xdr:from>
    <xdr:to>
      <xdr:col>0</xdr:col>
      <xdr:colOff>1593283</xdr:colOff>
      <xdr:row>13</xdr:row>
      <xdr:rowOff>1071562</xdr:rowOff>
    </xdr:to>
    <xdr:pic>
      <xdr:nvPicPr>
        <xdr:cNvPr id="24" name="Рисунок 23" descr="фальц.JPG"/>
        <xdr:cNvPicPr>
          <a:picLocks noChangeAspect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 bwMode="auto">
        <a:xfrm>
          <a:off x="623887" y="6638925"/>
          <a:ext cx="969396" cy="9953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590547</xdr:colOff>
      <xdr:row>51</xdr:row>
      <xdr:rowOff>42862</xdr:rowOff>
    </xdr:from>
    <xdr:to>
      <xdr:col>0</xdr:col>
      <xdr:colOff>1369068</xdr:colOff>
      <xdr:row>51</xdr:row>
      <xdr:rowOff>1000125</xdr:rowOff>
    </xdr:to>
    <xdr:pic>
      <xdr:nvPicPr>
        <xdr:cNvPr id="25" name="Рисунок 33" descr="Демостенд водосточная система Rohrfit Meister 120.jpg"/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 bwMode="auto">
        <a:xfrm>
          <a:off x="590547" y="43610212"/>
          <a:ext cx="778521" cy="9572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723900</xdr:colOff>
      <xdr:row>32</xdr:row>
      <xdr:rowOff>23814</xdr:rowOff>
    </xdr:from>
    <xdr:to>
      <xdr:col>0</xdr:col>
      <xdr:colOff>1423987</xdr:colOff>
      <xdr:row>32</xdr:row>
      <xdr:rowOff>1010684</xdr:rowOff>
    </xdr:to>
    <xdr:pic>
      <xdr:nvPicPr>
        <xdr:cNvPr id="26" name="Рисунок 35" descr="пн1.jpg"/>
        <xdr:cNvPicPr>
          <a:picLocks noChangeAspect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 bwMode="auto">
        <a:xfrm>
          <a:off x="723900" y="22845714"/>
          <a:ext cx="700087" cy="98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452438</xdr:colOff>
      <xdr:row>41</xdr:row>
      <xdr:rowOff>50009</xdr:rowOff>
    </xdr:from>
    <xdr:to>
      <xdr:col>0</xdr:col>
      <xdr:colOff>1833563</xdr:colOff>
      <xdr:row>41</xdr:row>
      <xdr:rowOff>1085853</xdr:rowOff>
    </xdr:to>
    <xdr:pic>
      <xdr:nvPicPr>
        <xdr:cNvPr id="2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 bwMode="auto">
        <a:xfrm>
          <a:off x="452438" y="31901609"/>
          <a:ext cx="1381125" cy="10358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666746</xdr:colOff>
      <xdr:row>50</xdr:row>
      <xdr:rowOff>42035</xdr:rowOff>
    </xdr:from>
    <xdr:to>
      <xdr:col>0</xdr:col>
      <xdr:colOff>1428746</xdr:colOff>
      <xdr:row>50</xdr:row>
      <xdr:rowOff>1034781</xdr:rowOff>
    </xdr:to>
    <xdr:pic>
      <xdr:nvPicPr>
        <xdr:cNvPr id="28" name="Рисунок 27" descr="Стенд Виниловые софиты 750х1000.jpg"/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666746" y="42437810"/>
          <a:ext cx="762000" cy="992746"/>
        </a:xfrm>
        <a:prstGeom prst="rect">
          <a:avLst/>
        </a:prstGeom>
      </xdr:spPr>
    </xdr:pic>
    <xdr:clientData/>
  </xdr:twoCellAnchor>
  <xdr:twoCellAnchor editAs="oneCell">
    <xdr:from>
      <xdr:col>0</xdr:col>
      <xdr:colOff>642938</xdr:colOff>
      <xdr:row>18</xdr:row>
      <xdr:rowOff>24951</xdr:rowOff>
    </xdr:from>
    <xdr:to>
      <xdr:col>0</xdr:col>
      <xdr:colOff>1404938</xdr:colOff>
      <xdr:row>18</xdr:row>
      <xdr:rowOff>1142809</xdr:rowOff>
    </xdr:to>
    <xdr:pic>
      <xdr:nvPicPr>
        <xdr:cNvPr id="29" name="Рисунок 28" descr="фото актуального стенда принты.JPG"/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642938" y="12359826"/>
          <a:ext cx="762000" cy="1117858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11</xdr:row>
      <xdr:rowOff>28577</xdr:rowOff>
    </xdr:from>
    <xdr:to>
      <xdr:col>0</xdr:col>
      <xdr:colOff>1714500</xdr:colOff>
      <xdr:row>11</xdr:row>
      <xdr:rowOff>1204362</xdr:rowOff>
    </xdr:to>
    <xdr:pic>
      <xdr:nvPicPr>
        <xdr:cNvPr id="3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 bwMode="auto">
        <a:xfrm>
          <a:off x="495301" y="4133852"/>
          <a:ext cx="1219199" cy="117578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609603</xdr:colOff>
      <xdr:row>22</xdr:row>
      <xdr:rowOff>52388</xdr:rowOff>
    </xdr:from>
    <xdr:to>
      <xdr:col>0</xdr:col>
      <xdr:colOff>1478308</xdr:colOff>
      <xdr:row>23</xdr:row>
      <xdr:rowOff>1090612</xdr:rowOff>
    </xdr:to>
    <xdr:pic>
      <xdr:nvPicPr>
        <xdr:cNvPr id="3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 bwMode="auto">
        <a:xfrm>
          <a:off x="609603" y="16235363"/>
          <a:ext cx="868705" cy="141922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771523</xdr:colOff>
      <xdr:row>44</xdr:row>
      <xdr:rowOff>90488</xdr:rowOff>
    </xdr:from>
    <xdr:to>
      <xdr:col>0</xdr:col>
      <xdr:colOff>1532136</xdr:colOff>
      <xdr:row>44</xdr:row>
      <xdr:rowOff>1119186</xdr:rowOff>
    </xdr:to>
    <xdr:pic>
      <xdr:nvPicPr>
        <xdr:cNvPr id="32" name="Рисунок 31" descr="DSC_0383.jpg"/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771523" y="35456813"/>
          <a:ext cx="760613" cy="1028698"/>
        </a:xfrm>
        <a:prstGeom prst="rect">
          <a:avLst/>
        </a:prstGeom>
      </xdr:spPr>
    </xdr:pic>
    <xdr:clientData/>
  </xdr:twoCellAnchor>
  <xdr:twoCellAnchor editAs="oneCell">
    <xdr:from>
      <xdr:col>0</xdr:col>
      <xdr:colOff>642936</xdr:colOff>
      <xdr:row>46</xdr:row>
      <xdr:rowOff>47627</xdr:rowOff>
    </xdr:from>
    <xdr:to>
      <xdr:col>0</xdr:col>
      <xdr:colOff>1714498</xdr:colOff>
      <xdr:row>46</xdr:row>
      <xdr:rowOff>1091047</xdr:rowOff>
    </xdr:to>
    <xdr:pic>
      <xdr:nvPicPr>
        <xdr:cNvPr id="3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 bwMode="auto">
        <a:xfrm>
          <a:off x="642936" y="37757102"/>
          <a:ext cx="1071562" cy="10434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547685</xdr:colOff>
      <xdr:row>48</xdr:row>
      <xdr:rowOff>23812</xdr:rowOff>
    </xdr:from>
    <xdr:to>
      <xdr:col>0</xdr:col>
      <xdr:colOff>1668268</xdr:colOff>
      <xdr:row>48</xdr:row>
      <xdr:rowOff>1119187</xdr:rowOff>
    </xdr:to>
    <xdr:pic>
      <xdr:nvPicPr>
        <xdr:cNvPr id="3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 bwMode="auto">
        <a:xfrm>
          <a:off x="547685" y="40076437"/>
          <a:ext cx="1120583" cy="10953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142874</xdr:colOff>
      <xdr:row>30</xdr:row>
      <xdr:rowOff>71436</xdr:rowOff>
    </xdr:from>
    <xdr:to>
      <xdr:col>0</xdr:col>
      <xdr:colOff>2333624</xdr:colOff>
      <xdr:row>31</xdr:row>
      <xdr:rowOff>893200</xdr:rowOff>
    </xdr:to>
    <xdr:pic>
      <xdr:nvPicPr>
        <xdr:cNvPr id="35" name="Рисунок 34" descr="Безымянный.jpg"/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42874" y="21540786"/>
          <a:ext cx="2190750" cy="12218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7286625</xdr:colOff>
      <xdr:row>6</xdr:row>
      <xdr:rowOff>79532</xdr:rowOff>
    </xdr:to>
    <xdr:pic>
      <xdr:nvPicPr>
        <xdr:cNvPr id="3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 bwMode="auto">
        <a:xfrm>
          <a:off x="0" y="0"/>
          <a:ext cx="9763125" cy="213693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214317</xdr:colOff>
      <xdr:row>11</xdr:row>
      <xdr:rowOff>47626</xdr:rowOff>
    </xdr:from>
    <xdr:to>
      <xdr:col>6</xdr:col>
      <xdr:colOff>2527167</xdr:colOff>
      <xdr:row>11</xdr:row>
      <xdr:rowOff>1214438</xdr:rowOff>
    </xdr:to>
    <xdr:pic>
      <xdr:nvPicPr>
        <xdr:cNvPr id="3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 bwMode="auto">
        <a:xfrm>
          <a:off x="18930942" y="4152901"/>
          <a:ext cx="2312850" cy="116681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690563</xdr:colOff>
      <xdr:row>42</xdr:row>
      <xdr:rowOff>90450</xdr:rowOff>
    </xdr:from>
    <xdr:to>
      <xdr:col>0</xdr:col>
      <xdr:colOff>1714500</xdr:colOff>
      <xdr:row>42</xdr:row>
      <xdr:rowOff>1138236</xdr:rowOff>
    </xdr:to>
    <xdr:pic>
      <xdr:nvPicPr>
        <xdr:cNvPr id="3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 bwMode="auto">
        <a:xfrm>
          <a:off x="690563" y="33113625"/>
          <a:ext cx="1023937" cy="104778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595312</xdr:colOff>
      <xdr:row>43</xdr:row>
      <xdr:rowOff>23814</xdr:rowOff>
    </xdr:from>
    <xdr:to>
      <xdr:col>0</xdr:col>
      <xdr:colOff>1643062</xdr:colOff>
      <xdr:row>43</xdr:row>
      <xdr:rowOff>1096074</xdr:rowOff>
    </xdr:to>
    <xdr:pic>
      <xdr:nvPicPr>
        <xdr:cNvPr id="39" name="Рисунок 38" descr="мини-стенд Штакетник 0,6х0,6 - 2016-03_02.png"/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595312" y="34218564"/>
          <a:ext cx="1047750" cy="10722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441.emf"/><Relationship Id="rId4" Type="http://schemas.openxmlformats.org/officeDocument/2006/relationships/oleObject" Target="../embeddings/oleObject1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I43"/>
  <sheetViews>
    <sheetView tabSelected="1" zoomScaleNormal="100" zoomScaleSheetLayoutView="80" workbookViewId="0">
      <selection sqref="A1:C2"/>
    </sheetView>
  </sheetViews>
  <sheetFormatPr defaultRowHeight="12.75" x14ac:dyDescent="0.2"/>
  <cols>
    <col min="1" max="1" width="36" style="396" customWidth="1"/>
    <col min="2" max="2" width="13" style="396" customWidth="1"/>
    <col min="3" max="3" width="13.140625" style="396" customWidth="1"/>
    <col min="4" max="4" width="15" style="396" customWidth="1"/>
    <col min="5" max="8" width="9.140625" style="396"/>
    <col min="9" max="9" width="12.42578125" style="396" customWidth="1"/>
    <col min="10" max="10" width="1.42578125" style="396" customWidth="1"/>
    <col min="11" max="12" width="9.140625" style="396"/>
    <col min="13" max="13" width="9.140625" style="396" customWidth="1"/>
    <col min="14" max="16384" width="9.140625" style="396"/>
  </cols>
  <sheetData>
    <row r="1" spans="1:9" ht="20.25" customHeight="1" x14ac:dyDescent="0.2">
      <c r="A1" s="2402" t="s">
        <v>1622</v>
      </c>
      <c r="B1" s="2402"/>
      <c r="C1" s="2402"/>
      <c r="D1" s="2398" t="s">
        <v>3198</v>
      </c>
      <c r="E1" s="2360"/>
      <c r="F1" s="2361"/>
      <c r="G1" s="2361"/>
      <c r="H1" s="2361"/>
      <c r="I1" s="2362"/>
    </row>
    <row r="2" spans="1:9" ht="17.25" customHeight="1" x14ac:dyDescent="0.2">
      <c r="A2" s="2402"/>
      <c r="B2" s="2402"/>
      <c r="C2" s="2402"/>
      <c r="D2" s="2398"/>
      <c r="E2" s="2363"/>
      <c r="F2" s="2364"/>
      <c r="G2" s="2364"/>
      <c r="H2" s="2364"/>
      <c r="I2" s="2365"/>
    </row>
    <row r="3" spans="1:9" ht="17.25" customHeight="1" x14ac:dyDescent="0.2">
      <c r="A3" s="2399" t="s">
        <v>1703</v>
      </c>
      <c r="B3" s="2400"/>
      <c r="C3" s="2401"/>
      <c r="D3" s="2180"/>
      <c r="E3" s="2363"/>
      <c r="F3" s="2364"/>
      <c r="G3" s="2364"/>
      <c r="H3" s="2364"/>
      <c r="I3" s="2365"/>
    </row>
    <row r="4" spans="1:9" ht="13.5" customHeight="1" x14ac:dyDescent="0.2">
      <c r="A4" s="2403" t="s">
        <v>1623</v>
      </c>
      <c r="B4" s="2403"/>
      <c r="C4" s="2403"/>
      <c r="D4" s="2181">
        <v>3</v>
      </c>
      <c r="E4" s="2363"/>
      <c r="F4" s="2364"/>
      <c r="G4" s="2364"/>
      <c r="H4" s="2364"/>
      <c r="I4" s="2365"/>
    </row>
    <row r="5" spans="1:9" ht="13.5" customHeight="1" x14ac:dyDescent="0.2">
      <c r="A5" s="2403" t="s">
        <v>1624</v>
      </c>
      <c r="B5" s="2403"/>
      <c r="C5" s="2403"/>
      <c r="D5" s="2181">
        <v>1</v>
      </c>
      <c r="E5" s="2363"/>
      <c r="F5" s="2364"/>
      <c r="G5" s="2364"/>
      <c r="H5" s="2364"/>
      <c r="I5" s="2365"/>
    </row>
    <row r="6" spans="1:9" ht="13.5" customHeight="1" x14ac:dyDescent="0.2">
      <c r="A6" s="2395" t="s">
        <v>1740</v>
      </c>
      <c r="B6" s="2396"/>
      <c r="C6" s="2397"/>
      <c r="D6" s="2181"/>
      <c r="E6" s="2363"/>
      <c r="F6" s="2364"/>
      <c r="G6" s="2364"/>
      <c r="H6" s="2364"/>
      <c r="I6" s="2365"/>
    </row>
    <row r="7" spans="1:9" ht="13.5" customHeight="1" x14ac:dyDescent="0.2">
      <c r="A7" s="2403" t="s">
        <v>1741</v>
      </c>
      <c r="B7" s="2403"/>
      <c r="C7" s="2403"/>
      <c r="D7" s="2181"/>
      <c r="E7" s="2363"/>
      <c r="F7" s="2364"/>
      <c r="G7" s="2364"/>
      <c r="H7" s="2364"/>
      <c r="I7" s="2365"/>
    </row>
    <row r="8" spans="1:9" ht="13.5" customHeight="1" x14ac:dyDescent="0.2">
      <c r="A8" s="2395" t="s">
        <v>2102</v>
      </c>
      <c r="B8" s="2396"/>
      <c r="C8" s="2397"/>
      <c r="D8" s="2181">
        <v>1</v>
      </c>
      <c r="E8" s="2363"/>
      <c r="F8" s="2364"/>
      <c r="G8" s="2364"/>
      <c r="H8" s="2364"/>
      <c r="I8" s="2365"/>
    </row>
    <row r="9" spans="1:9" ht="13.5" customHeight="1" x14ac:dyDescent="0.2">
      <c r="A9" s="2395" t="s">
        <v>2101</v>
      </c>
      <c r="B9" s="2396"/>
      <c r="C9" s="2397"/>
      <c r="D9" s="2181">
        <v>1</v>
      </c>
      <c r="E9" s="2363"/>
      <c r="F9" s="2364"/>
      <c r="G9" s="2364"/>
      <c r="H9" s="2364"/>
      <c r="I9" s="2365"/>
    </row>
    <row r="10" spans="1:9" ht="13.5" customHeight="1" x14ac:dyDescent="0.2">
      <c r="A10" s="2395" t="s">
        <v>3062</v>
      </c>
      <c r="B10" s="2396"/>
      <c r="C10" s="2397"/>
      <c r="D10" s="2181"/>
      <c r="E10" s="2363"/>
      <c r="F10" s="2364"/>
      <c r="G10" s="2364"/>
      <c r="H10" s="2364"/>
      <c r="I10" s="2365"/>
    </row>
    <row r="11" spans="1:9" ht="13.5" customHeight="1" x14ac:dyDescent="0.2">
      <c r="A11" s="2395" t="s">
        <v>3063</v>
      </c>
      <c r="B11" s="2396"/>
      <c r="C11" s="2397"/>
      <c r="D11" s="2181">
        <v>1</v>
      </c>
      <c r="E11" s="2363"/>
      <c r="F11" s="2364"/>
      <c r="G11" s="2364"/>
      <c r="H11" s="2364"/>
      <c r="I11" s="2365"/>
    </row>
    <row r="12" spans="1:9" ht="13.5" customHeight="1" x14ac:dyDescent="0.2">
      <c r="A12" s="2395" t="s">
        <v>3064</v>
      </c>
      <c r="B12" s="2396"/>
      <c r="C12" s="2397"/>
      <c r="D12" s="2181">
        <v>3</v>
      </c>
      <c r="E12" s="2363"/>
      <c r="F12" s="2364"/>
      <c r="G12" s="2364"/>
      <c r="H12" s="2364"/>
      <c r="I12" s="2365"/>
    </row>
    <row r="13" spans="1:9" ht="13.5" customHeight="1" x14ac:dyDescent="0.2">
      <c r="A13" s="2395" t="s">
        <v>3336</v>
      </c>
      <c r="B13" s="2396"/>
      <c r="C13" s="2397"/>
      <c r="D13" s="2181"/>
      <c r="E13" s="2363"/>
      <c r="F13" s="2364"/>
      <c r="G13" s="2364"/>
      <c r="H13" s="2364"/>
      <c r="I13" s="2365"/>
    </row>
    <row r="14" spans="1:9" ht="13.5" customHeight="1" x14ac:dyDescent="0.2">
      <c r="A14" s="2395" t="s">
        <v>3337</v>
      </c>
      <c r="B14" s="2396"/>
      <c r="C14" s="2397"/>
      <c r="D14" s="2181"/>
      <c r="E14" s="2363"/>
      <c r="F14" s="2364"/>
      <c r="G14" s="2364"/>
      <c r="H14" s="2364"/>
      <c r="I14" s="2365"/>
    </row>
    <row r="15" spans="1:9" ht="13.5" customHeight="1" x14ac:dyDescent="0.2">
      <c r="A15" s="2395" t="s">
        <v>3338</v>
      </c>
      <c r="B15" s="2396"/>
      <c r="C15" s="2397"/>
      <c r="D15" s="2181"/>
      <c r="E15" s="2363"/>
      <c r="F15" s="2364"/>
      <c r="G15" s="2364"/>
      <c r="H15" s="2364"/>
      <c r="I15" s="2365"/>
    </row>
    <row r="16" spans="1:9" ht="13.5" customHeight="1" x14ac:dyDescent="0.2">
      <c r="A16" s="2395" t="s">
        <v>3339</v>
      </c>
      <c r="B16" s="2396"/>
      <c r="C16" s="2397"/>
      <c r="D16" s="2181">
        <v>4</v>
      </c>
      <c r="E16" s="2363"/>
      <c r="F16" s="2364"/>
      <c r="G16" s="2364"/>
      <c r="H16" s="2364"/>
      <c r="I16" s="2365"/>
    </row>
    <row r="17" spans="1:9" ht="13.5" customHeight="1" x14ac:dyDescent="0.2">
      <c r="A17" s="2395" t="s">
        <v>3340</v>
      </c>
      <c r="B17" s="2396"/>
      <c r="C17" s="2397"/>
      <c r="D17" s="2181">
        <v>9</v>
      </c>
      <c r="E17" s="2363"/>
      <c r="F17" s="2364"/>
      <c r="G17" s="2364"/>
      <c r="H17" s="2364"/>
      <c r="I17" s="2365"/>
    </row>
    <row r="18" spans="1:9" ht="13.5" customHeight="1" x14ac:dyDescent="0.2">
      <c r="A18" s="2395" t="s">
        <v>3341</v>
      </c>
      <c r="B18" s="2396"/>
      <c r="C18" s="2397"/>
      <c r="D18" s="2181">
        <v>9</v>
      </c>
      <c r="E18" s="2363"/>
      <c r="F18" s="2364"/>
      <c r="G18" s="2364"/>
      <c r="H18" s="2364"/>
      <c r="I18" s="2365"/>
    </row>
    <row r="19" spans="1:9" ht="13.5" customHeight="1" x14ac:dyDescent="0.2">
      <c r="A19" s="2392" t="s">
        <v>3342</v>
      </c>
      <c r="B19" s="2393"/>
      <c r="C19" s="2394"/>
      <c r="D19" s="2181">
        <v>2</v>
      </c>
      <c r="E19" s="2363"/>
      <c r="F19" s="2364"/>
      <c r="G19" s="2364"/>
      <c r="H19" s="2364"/>
      <c r="I19" s="2365"/>
    </row>
    <row r="20" spans="1:9" ht="13.5" customHeight="1" x14ac:dyDescent="0.2">
      <c r="A20" s="2392" t="s">
        <v>3343</v>
      </c>
      <c r="B20" s="2393"/>
      <c r="C20" s="2394"/>
      <c r="D20" s="2181"/>
      <c r="E20" s="2363"/>
      <c r="F20" s="2364"/>
      <c r="G20" s="2364"/>
      <c r="H20" s="2364"/>
      <c r="I20" s="2365"/>
    </row>
    <row r="21" spans="1:9" ht="13.5" customHeight="1" x14ac:dyDescent="0.2">
      <c r="A21" s="2392" t="s">
        <v>3344</v>
      </c>
      <c r="B21" s="2393"/>
      <c r="C21" s="2394"/>
      <c r="D21" s="2181"/>
      <c r="E21" s="2363"/>
      <c r="F21" s="2364"/>
      <c r="G21" s="2364"/>
      <c r="H21" s="2364"/>
      <c r="I21" s="2365"/>
    </row>
    <row r="22" spans="1:9" ht="13.5" customHeight="1" x14ac:dyDescent="0.2">
      <c r="A22" s="2392" t="s">
        <v>3345</v>
      </c>
      <c r="B22" s="2393"/>
      <c r="C22" s="2394"/>
      <c r="D22" s="2181"/>
      <c r="E22" s="2363"/>
      <c r="F22" s="2364"/>
      <c r="G22" s="2364"/>
      <c r="H22" s="2364"/>
      <c r="I22" s="2365"/>
    </row>
    <row r="23" spans="1:9" ht="13.5" customHeight="1" x14ac:dyDescent="0.2">
      <c r="A23" s="2392" t="s">
        <v>3346</v>
      </c>
      <c r="B23" s="2393"/>
      <c r="C23" s="2394"/>
      <c r="D23" s="2181"/>
      <c r="E23" s="2363"/>
      <c r="F23" s="2364"/>
      <c r="G23" s="2364"/>
      <c r="H23" s="2364"/>
      <c r="I23" s="2365"/>
    </row>
    <row r="24" spans="1:9" ht="13.5" customHeight="1" x14ac:dyDescent="0.2">
      <c r="A24" s="2392" t="s">
        <v>3347</v>
      </c>
      <c r="B24" s="2393"/>
      <c r="C24" s="2394"/>
      <c r="D24" s="2181">
        <v>1</v>
      </c>
      <c r="E24" s="2363"/>
      <c r="F24" s="2364"/>
      <c r="G24" s="2364"/>
      <c r="H24" s="2364"/>
      <c r="I24" s="2365"/>
    </row>
    <row r="25" spans="1:9" ht="13.5" customHeight="1" x14ac:dyDescent="0.2">
      <c r="A25" s="2392" t="s">
        <v>3348</v>
      </c>
      <c r="B25" s="2393"/>
      <c r="C25" s="2394"/>
      <c r="D25" s="2181">
        <v>8</v>
      </c>
      <c r="E25" s="2363"/>
      <c r="F25" s="2364"/>
      <c r="G25" s="2364"/>
      <c r="H25" s="2364"/>
      <c r="I25" s="2365"/>
    </row>
    <row r="26" spans="1:9" ht="13.5" customHeight="1" x14ac:dyDescent="0.2">
      <c r="A26" s="2392" t="s">
        <v>3349</v>
      </c>
      <c r="B26" s="2393"/>
      <c r="C26" s="2394"/>
      <c r="D26" s="2181"/>
      <c r="E26" s="2363"/>
      <c r="F26" s="2364"/>
      <c r="G26" s="2364"/>
      <c r="H26" s="2364"/>
      <c r="I26" s="2365"/>
    </row>
    <row r="27" spans="1:9" ht="13.5" customHeight="1" x14ac:dyDescent="0.2">
      <c r="A27" s="2392" t="s">
        <v>3350</v>
      </c>
      <c r="B27" s="2393"/>
      <c r="C27" s="2394"/>
      <c r="D27" s="2181"/>
      <c r="E27" s="2363"/>
      <c r="F27" s="2364"/>
      <c r="G27" s="2364"/>
      <c r="H27" s="2364"/>
      <c r="I27" s="2365"/>
    </row>
    <row r="28" spans="1:9" ht="13.5" customHeight="1" x14ac:dyDescent="0.2">
      <c r="A28" s="2392" t="s">
        <v>3392</v>
      </c>
      <c r="B28" s="2393"/>
      <c r="C28" s="2394"/>
      <c r="D28" s="2181">
        <v>1</v>
      </c>
      <c r="E28" s="2363"/>
      <c r="F28" s="2364"/>
      <c r="G28" s="2364"/>
      <c r="H28" s="2364"/>
      <c r="I28" s="2365"/>
    </row>
    <row r="29" spans="1:9" ht="13.5" customHeight="1" x14ac:dyDescent="0.2">
      <c r="A29" s="2392" t="s">
        <v>3351</v>
      </c>
      <c r="B29" s="2393"/>
      <c r="C29" s="2394"/>
      <c r="D29" s="2181"/>
      <c r="E29" s="2363"/>
      <c r="F29" s="2364"/>
      <c r="G29" s="2364"/>
      <c r="H29" s="2364"/>
      <c r="I29" s="2365"/>
    </row>
    <row r="30" spans="1:9" ht="13.5" customHeight="1" x14ac:dyDescent="0.2">
      <c r="A30" s="2392" t="s">
        <v>3352</v>
      </c>
      <c r="B30" s="2393"/>
      <c r="C30" s="2394"/>
      <c r="D30" s="2181">
        <v>1</v>
      </c>
      <c r="E30" s="2363"/>
      <c r="F30" s="2364"/>
      <c r="G30" s="2364"/>
      <c r="H30" s="2364"/>
      <c r="I30" s="2365"/>
    </row>
    <row r="31" spans="1:9" ht="13.5" customHeight="1" x14ac:dyDescent="0.2">
      <c r="A31" s="2392" t="s">
        <v>3353</v>
      </c>
      <c r="B31" s="2393"/>
      <c r="C31" s="2394"/>
      <c r="D31" s="2181"/>
      <c r="E31" s="2363"/>
      <c r="F31" s="2364"/>
      <c r="G31" s="2364"/>
      <c r="H31" s="2364"/>
      <c r="I31" s="2365"/>
    </row>
    <row r="32" spans="1:9" ht="13.5" customHeight="1" x14ac:dyDescent="0.2">
      <c r="A32" s="2392" t="s">
        <v>3354</v>
      </c>
      <c r="B32" s="2393"/>
      <c r="C32" s="2394"/>
      <c r="D32" s="2181">
        <v>3</v>
      </c>
      <c r="E32" s="2363"/>
      <c r="F32" s="2364"/>
      <c r="G32" s="2364"/>
      <c r="H32" s="2364"/>
      <c r="I32" s="2365"/>
    </row>
    <row r="33" spans="1:9" ht="13.5" customHeight="1" x14ac:dyDescent="0.2">
      <c r="A33" s="2392" t="s">
        <v>3355</v>
      </c>
      <c r="B33" s="2393"/>
      <c r="C33" s="2394"/>
      <c r="D33" s="2181"/>
      <c r="E33" s="2363"/>
      <c r="F33" s="2364"/>
      <c r="G33" s="2364"/>
      <c r="H33" s="2364"/>
      <c r="I33" s="2365"/>
    </row>
    <row r="34" spans="1:9" ht="13.5" customHeight="1" x14ac:dyDescent="0.2">
      <c r="A34" s="2392" t="s">
        <v>3356</v>
      </c>
      <c r="B34" s="2393"/>
      <c r="C34" s="2394"/>
      <c r="D34" s="2181">
        <v>1</v>
      </c>
      <c r="E34" s="2363"/>
      <c r="F34" s="2364"/>
      <c r="G34" s="2364"/>
      <c r="H34" s="2364"/>
      <c r="I34" s="2365"/>
    </row>
    <row r="35" spans="1:9" ht="13.5" customHeight="1" x14ac:dyDescent="0.2">
      <c r="A35" s="2392" t="s">
        <v>3357</v>
      </c>
      <c r="B35" s="2393"/>
      <c r="C35" s="2394"/>
      <c r="D35" s="2181"/>
      <c r="E35" s="2363"/>
      <c r="F35" s="2364"/>
      <c r="G35" s="2364"/>
      <c r="H35" s="2364"/>
      <c r="I35" s="2365"/>
    </row>
    <row r="36" spans="1:9" ht="13.5" customHeight="1" x14ac:dyDescent="0.2">
      <c r="A36" s="2392" t="s">
        <v>3358</v>
      </c>
      <c r="B36" s="2393"/>
      <c r="C36" s="2394"/>
      <c r="D36" s="2181">
        <v>3</v>
      </c>
      <c r="E36" s="2363"/>
      <c r="F36" s="2364"/>
      <c r="G36" s="2364"/>
      <c r="H36" s="2364"/>
      <c r="I36" s="2365"/>
    </row>
    <row r="37" spans="1:9" ht="13.5" customHeight="1" x14ac:dyDescent="0.2">
      <c r="A37" s="2392" t="s">
        <v>3359</v>
      </c>
      <c r="B37" s="2393"/>
      <c r="C37" s="2394"/>
      <c r="D37" s="2181"/>
      <c r="E37" s="2363"/>
      <c r="F37" s="2364"/>
      <c r="G37" s="2364"/>
      <c r="H37" s="2364"/>
      <c r="I37" s="2365"/>
    </row>
    <row r="38" spans="1:9" ht="13.5" customHeight="1" x14ac:dyDescent="0.2">
      <c r="A38" s="2392" t="s">
        <v>3360</v>
      </c>
      <c r="B38" s="2393"/>
      <c r="C38" s="2394"/>
      <c r="D38" s="2181"/>
      <c r="E38" s="2363"/>
      <c r="F38" s="2364"/>
      <c r="G38" s="2364"/>
      <c r="H38" s="2364"/>
      <c r="I38" s="2365"/>
    </row>
    <row r="39" spans="1:9" ht="13.5" customHeight="1" x14ac:dyDescent="0.2">
      <c r="A39" s="2392" t="s">
        <v>3361</v>
      </c>
      <c r="B39" s="2393"/>
      <c r="C39" s="2394"/>
      <c r="D39" s="2181"/>
      <c r="E39" s="2363"/>
      <c r="F39" s="2364"/>
      <c r="G39" s="2364"/>
      <c r="H39" s="2364"/>
      <c r="I39" s="2365"/>
    </row>
    <row r="40" spans="1:9" ht="13.5" customHeight="1" x14ac:dyDescent="0.2">
      <c r="A40" s="2392" t="s">
        <v>3362</v>
      </c>
      <c r="B40" s="2393"/>
      <c r="C40" s="2394"/>
      <c r="D40" s="2181"/>
      <c r="E40" s="2363"/>
      <c r="F40" s="2364"/>
      <c r="G40" s="2364"/>
      <c r="H40" s="2364"/>
      <c r="I40" s="2365"/>
    </row>
    <row r="41" spans="1:9" ht="13.5" customHeight="1" x14ac:dyDescent="0.2">
      <c r="A41" s="2392" t="s">
        <v>3363</v>
      </c>
      <c r="B41" s="2393"/>
      <c r="C41" s="2394"/>
      <c r="D41" s="2181">
        <v>1</v>
      </c>
      <c r="E41" s="2363"/>
      <c r="F41" s="2364"/>
      <c r="G41" s="2364"/>
      <c r="H41" s="2364"/>
      <c r="I41" s="2365"/>
    </row>
    <row r="42" spans="1:9" ht="13.5" customHeight="1" x14ac:dyDescent="0.2">
      <c r="A42" s="2392" t="s">
        <v>3364</v>
      </c>
      <c r="B42" s="2393"/>
      <c r="C42" s="2394"/>
      <c r="D42" s="2181"/>
      <c r="E42" s="2363"/>
      <c r="F42" s="2364"/>
      <c r="G42" s="2364"/>
      <c r="H42" s="2364"/>
      <c r="I42" s="2365"/>
    </row>
    <row r="43" spans="1:9" x14ac:dyDescent="0.2">
      <c r="A43" s="2389" t="s">
        <v>3365</v>
      </c>
      <c r="B43" s="2390"/>
      <c r="C43" s="2391"/>
      <c r="D43" s="2181">
        <v>1</v>
      </c>
      <c r="E43" s="2366"/>
      <c r="F43" s="2367"/>
      <c r="G43" s="2367"/>
      <c r="H43" s="2367"/>
      <c r="I43" s="2368"/>
    </row>
  </sheetData>
  <mergeCells count="43">
    <mergeCell ref="D1:D2"/>
    <mergeCell ref="A9:C9"/>
    <mergeCell ref="A6:C6"/>
    <mergeCell ref="A3:C3"/>
    <mergeCell ref="A22:C22"/>
    <mergeCell ref="A1:C2"/>
    <mergeCell ref="A8:C8"/>
    <mergeCell ref="A10:C10"/>
    <mergeCell ref="A13:C13"/>
    <mergeCell ref="A4:C4"/>
    <mergeCell ref="A5:C5"/>
    <mergeCell ref="A7:C7"/>
    <mergeCell ref="A11:C11"/>
    <mergeCell ref="A12:C12"/>
    <mergeCell ref="A14:C14"/>
    <mergeCell ref="A15:C15"/>
    <mergeCell ref="A16:C16"/>
    <mergeCell ref="A17:C17"/>
    <mergeCell ref="A18:C18"/>
    <mergeCell ref="A19:C19"/>
    <mergeCell ref="A20:C20"/>
    <mergeCell ref="A21:C21"/>
    <mergeCell ref="A34:C34"/>
    <mergeCell ref="A23:C23"/>
    <mergeCell ref="A24:C24"/>
    <mergeCell ref="A25:C25"/>
    <mergeCell ref="A26:C26"/>
    <mergeCell ref="A27:C27"/>
    <mergeCell ref="A28:C28"/>
    <mergeCell ref="A29:C29"/>
    <mergeCell ref="A30:C30"/>
    <mergeCell ref="A31:C31"/>
    <mergeCell ref="A32:C32"/>
    <mergeCell ref="A33:C33"/>
    <mergeCell ref="A43:C43"/>
    <mergeCell ref="A35:C35"/>
    <mergeCell ref="A36:C36"/>
    <mergeCell ref="A39:C39"/>
    <mergeCell ref="A40:C40"/>
    <mergeCell ref="A42:C42"/>
    <mergeCell ref="A41:C41"/>
    <mergeCell ref="A37:C37"/>
    <mergeCell ref="A38:C38"/>
  </mergeCells>
  <hyperlinks>
    <hyperlink ref="A4" location="'1 Grand Line'!A1" display="'1 Grand Line'!A1"/>
    <hyperlink ref="A5" location="'2 Optima'!A1" display="'2 Optima'!A1"/>
    <hyperlink ref="A7" location="'3 Черепица Decra'!A1" display="'3 Черепица Decra'!A1"/>
    <hyperlink ref="A11" location="'4 Доборные элементы'!A1" display="'4 Доборные элементы'!A1"/>
    <hyperlink ref="A12" location="'5 Доборные элементы фасад'!A1" display="'5 Доборные элементы фасад'!A1"/>
    <hyperlink ref="A15" location="'6 Упаковка'!A1" display="'6 Упаковка'!A1"/>
    <hyperlink ref="A16" location="'7 Оборудование GL'!A1" display="'7 Оборудование GL'!A1"/>
    <hyperlink ref="A17" location="'8 Инструмент GL 1'!A1" display="'8 Инструмент GL 1'!A1"/>
    <hyperlink ref="A18" location="'9 Инструмент GL 2'!A1" display="'9 Инструмент GL 2'!A1"/>
    <hyperlink ref="A19" location="'10 Комплектующие'!A1" display="'10 Комплектующие'!A1"/>
    <hyperlink ref="A21" location="'11 ЭБК GL'!A1" display="'11 ЭБК GL'!A1"/>
    <hyperlink ref="A22" location="'12 ЭБК Optima'!A1" display="'12 ЭБК Optima'!A1"/>
    <hyperlink ref="A23" location="'13 Водосточные системы GL'!A1" display="'13 Водосточные системы GL'!A1"/>
    <hyperlink ref="A24" location="'14 Водосточная система Optima'!A1" display="'14 Водосточная система Optima'!A1"/>
    <hyperlink ref="A25" location="'15 Виниловый сайдинг GL AMERIKA'!A1" display="'15 Виниловый сайдинг GL AMERIKA'!A1"/>
    <hyperlink ref="A26" location="'16 Mid-America'!A1" display="'16 Mid-America'!A1"/>
    <hyperlink ref="A27" location="'17 Виниловый водосток Rohrfit'!A1" display="'17 Виниловый водосток Rohrfit'!A1"/>
    <hyperlink ref="A28" location="'19 Wandstein'!A1" display="'19 Wandstein'!A1"/>
    <hyperlink ref="A29" location="'20 Панельные ограждения GL'!A1" display="'20 Панельные ограждения GL'!A1"/>
    <hyperlink ref="A30" location="'21 Эл-ты панельных ограждений'!A1" display="'21 Эл-ты панельных ограждений'!A1"/>
    <hyperlink ref="A31" location="'22 Модульные ограждения GL'!A1" display="'22 Модульные ограждения GL'!A1"/>
    <hyperlink ref="A32" location="'23 Времен.огр.+Рулон+Штакетник'!A1" display="'23 Времен.огр.+Рулон+Штакетник'!A1"/>
    <hyperlink ref="A33" location="'24 Откатные ворота'!A1" display="'24 Откатные ворота'!A1"/>
    <hyperlink ref="A34" location="'25 Распашные ворота и калит'!A1" display="'25 Распашные ворота и калит'!A1"/>
    <hyperlink ref="A35" location="'26 Locinox'!A1" display="'26 Locinox'!A1"/>
    <hyperlink ref="A36" location="'27 Fakro'!A1" display="'27 Fakro'!A1"/>
    <hyperlink ref="A39" location="'29 Вентиляция Krovent'!A1" display="'29 Вентиляция Krovent'!A1"/>
    <hyperlink ref="A40" location="'30 Вентиляция Vilpe'!A1" display="'30 Вентиляция Vilpe'!A1"/>
    <hyperlink ref="A42" location="'31 Рекламные стенды GL'!A1" display="'31 Рекламные стенды GL'!A1"/>
    <hyperlink ref="A23:C23" location="'20 Водосточные системы GL'!R1C1" display="20 Водосточные системы GL"/>
    <hyperlink ref="A24:C24" location="'21 Водосточная система Optima'!R1C1" display="21 Водосточная система Optima"/>
    <hyperlink ref="A25:C25" location="'22 Виниловый сайдинг GL AMERIKA'!R1C1" display="22 Виниловый сайдинг GL AMERIKA"/>
    <hyperlink ref="A26:C26" location="'23 Декоративные элементы'!R1C1" display="23 Декоративные элементы Mid-America+Техоснастка"/>
    <hyperlink ref="A27:C27" location="'24 Виниловый водосток Rohrfit'!R1C1" display="24 Виниловый водосток Rohrfit"/>
    <hyperlink ref="A15:C15" location="'12 Упаковка'!R1C1" display="12 Упаковка"/>
    <hyperlink ref="A16:C16" location="'13 Инструмент GL 1'!R1C1" display="13 Инструмент GL 1"/>
    <hyperlink ref="A17:C17" location="'14 Инструмент GL 2'!R1C1" display="14 Инструмент GL 2"/>
    <hyperlink ref="A18:C18" location="'15 Инструмент GL 3'!R1C1" display="15 Инструмент GL 3"/>
    <hyperlink ref="A3:C3" location="'Ликвидация и Акции'!A1" display="СУПЕР ликвидация"/>
    <hyperlink ref="A6:C6" location="'3 Комп. черепица GL'!A1" display="3 Композитная черепица Grand Line"/>
    <hyperlink ref="A7:C7" location="'4 Комп. черепица Decra'!A1" display="4 Композитная черепица Decra"/>
    <hyperlink ref="A11:C11" location="'8 Доборные элементы'!A1" display="8 Доборные элементы"/>
    <hyperlink ref="A12:C12" location="'9 Доборные элементы фасад'!A1" display="9 Доборные элементы фасад"/>
    <hyperlink ref="A14:C14" location="'11 Дымники и Флюгеры'!R1C1" display="11 Дымники и Флюгеры"/>
    <hyperlink ref="A19:C19" location="'16 Комплектующие'!R1C1" display="16  Комплектующие"/>
    <hyperlink ref="A20:C20" location="'17 Гидро-пароизоляция'!R1C1" display="17 Гидроизоляционные и пароизоляционные материалы"/>
    <hyperlink ref="A21:C21" location="'18 ЭБК GL'!R1C1" display="18 ЭБК GL"/>
    <hyperlink ref="A22:C22" location="'19 ЭБК Optima'!R1C1" display="19 ЭБК Optima"/>
    <hyperlink ref="A28:C28" location="'25 Wandstein'!R1C1" display="25 Цокольные панели Wandstein"/>
    <hyperlink ref="A29:C29" location="'26 Панельные ограждения GL'!R1C1" display="26 Панельные ограждения GL"/>
    <hyperlink ref="A30:C30" location="'27 Эл-ты панельных ограждений'!R1C1" display="27 Эл-ты панельных ограждений GL"/>
    <hyperlink ref="A31:C31" location="'28 Модульные ограждения GL'!R1C1" display="28 Модульные ограждения GL"/>
    <hyperlink ref="A32:C32" location="'29 Врем.огр.+Рулон+Штакет+Трубы'!R1C1" display="29 Времен.огр.+Рулонная сетка+Штакетник+Трубы для заборов"/>
    <hyperlink ref="A33:C33" location="'30 Откатные ворота'!R1C1" display="30 Откатные ворота"/>
    <hyperlink ref="A34:C34" location="'31 Распашные ворота и калитки'!R1C1" display="31 Распашные ворота и калитки"/>
    <hyperlink ref="A35:C35" location="'32 Locinox'!R1C1" display="32 Locinox фурнитура"/>
    <hyperlink ref="A36:C36" location="'33 Fakro'!R1C1" display="33 Fakro"/>
    <hyperlink ref="A39:C39" location="'36 Вентиляция Krovent'!R1C1" display="36 Вентиляция Krovent"/>
    <hyperlink ref="A40:C40" location="'37 Вентиляция Vilpe'!R1C1" display="37 Вентиляция Vilpe"/>
    <hyperlink ref="A42:C42" location="'39 Теплицы+Террас.доска'!R1C1" display="39 Террасная доска и теплицы"/>
    <hyperlink ref="A43:C43" location="'40 Рекламная продукция GL'!R1C1" display="40 Рекламная продукция GL"/>
    <hyperlink ref="A9:C9" location="'6 Мягкая кровля'!A1" display="6 Мягкая кровля"/>
    <hyperlink ref="A8:C8" location="'5 Комп. черепица Luxard'!A1" display="5 Композитная черепица Luxard"/>
    <hyperlink ref="A41:C41" location="'38 Фиброцементный сайдинг'!R1C1" display="38 Фиброцементный сайдинг"/>
    <hyperlink ref="A37" location="'28 VELUX'!A1" display="'28 VELUX'!A1"/>
    <hyperlink ref="A38" location="'28 VELUX'!A1" display="'28 VELUX'!A1"/>
    <hyperlink ref="A37:C38" location="'32 VELUX'!A1" display="32 VELUX"/>
    <hyperlink ref="A37:C37" location="'34 VELUX OPTIMA'!R1C1" display="34 VELUX OPTIMA"/>
    <hyperlink ref="A38:C38" location="'35 VELUX PREMIUM'!R1C1" display="35 VELUX PREMIUM"/>
    <hyperlink ref="A10:C10" location="'7 ЦПЧ BalticTile'!A1" display="7 ЦПЧ BalticTile"/>
    <hyperlink ref="A13:C13" location="'10 Утеплители'!R1C1" display="10 Утеплитель"/>
  </hyperlinks>
  <printOptions horizontalCentered="1" verticalCentered="1"/>
  <pageMargins left="0" right="0" top="0" bottom="0" header="0.31496062992125984" footer="0.31496062992125984"/>
  <pageSetup paperSize="9" scale="84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43"/>
  <sheetViews>
    <sheetView zoomScaleNormal="100" workbookViewId="0">
      <selection sqref="A1:H2"/>
    </sheetView>
  </sheetViews>
  <sheetFormatPr defaultRowHeight="14.25" x14ac:dyDescent="0.2"/>
  <cols>
    <col min="1" max="1" width="27.5703125" style="930" customWidth="1"/>
    <col min="2" max="2" width="8.140625" style="930" customWidth="1"/>
    <col min="3" max="3" width="21.42578125" style="930" customWidth="1"/>
    <col min="4" max="4" width="7.140625" style="930" customWidth="1"/>
    <col min="5" max="5" width="3.140625" style="930" customWidth="1"/>
    <col min="6" max="6" width="10.85546875" style="930" customWidth="1"/>
    <col min="7" max="7" width="12.5703125" style="930" customWidth="1"/>
    <col min="8" max="8" width="10.28515625" style="930" customWidth="1"/>
    <col min="9" max="9" width="23.28515625" style="930" customWidth="1"/>
    <col min="10" max="12" width="19.5703125" style="930" customWidth="1"/>
    <col min="13" max="16384" width="9.140625" style="930"/>
  </cols>
  <sheetData>
    <row r="1" spans="1:8" ht="87" customHeight="1" x14ac:dyDescent="0.2">
      <c r="A1" s="2404"/>
      <c r="B1" s="2404"/>
      <c r="C1" s="2404"/>
      <c r="D1" s="2404"/>
      <c r="E1" s="2404"/>
      <c r="F1" s="2404"/>
      <c r="G1" s="2404"/>
      <c r="H1" s="2404"/>
    </row>
    <row r="2" spans="1:8" s="1698" customFormat="1" ht="19.5" customHeight="1" x14ac:dyDescent="0.25">
      <c r="A2" s="2415" t="s">
        <v>1694</v>
      </c>
      <c r="B2" s="2415"/>
      <c r="C2" s="2415"/>
      <c r="D2" s="2415"/>
      <c r="E2" s="2415"/>
      <c r="F2" s="2415"/>
      <c r="G2" s="2415"/>
      <c r="H2" s="2415"/>
    </row>
    <row r="3" spans="1:8" ht="14.25" customHeight="1" x14ac:dyDescent="0.2">
      <c r="A3" s="2408" t="s">
        <v>2</v>
      </c>
      <c r="B3" s="2408"/>
      <c r="C3" s="2406" t="s">
        <v>3208</v>
      </c>
      <c r="D3" s="2406" t="s">
        <v>3146</v>
      </c>
      <c r="E3" s="2406"/>
      <c r="F3" s="2406"/>
      <c r="G3" s="2406"/>
      <c r="H3" s="2406"/>
    </row>
    <row r="4" spans="1:8" x14ac:dyDescent="0.2">
      <c r="A4" s="2408"/>
      <c r="B4" s="2408"/>
      <c r="C4" s="2406"/>
      <c r="D4" s="2406"/>
      <c r="E4" s="2406"/>
      <c r="F4" s="2406"/>
      <c r="G4" s="2406"/>
      <c r="H4" s="2406"/>
    </row>
    <row r="5" spans="1:8" x14ac:dyDescent="0.2">
      <c r="A5" s="2408"/>
      <c r="B5" s="2408"/>
      <c r="C5" s="2406"/>
      <c r="D5" s="2418" t="s">
        <v>3147</v>
      </c>
      <c r="E5" s="2418"/>
      <c r="F5" s="2418"/>
      <c r="G5" s="2418" t="s">
        <v>3148</v>
      </c>
      <c r="H5" s="2418"/>
    </row>
    <row r="6" spans="1:8" ht="12.75" customHeight="1" x14ac:dyDescent="0.2">
      <c r="A6" s="2408" t="s">
        <v>1695</v>
      </c>
      <c r="B6" s="2408"/>
      <c r="C6" s="2194">
        <v>0.5</v>
      </c>
      <c r="D6" s="2416">
        <v>0.5</v>
      </c>
      <c r="E6" s="2416"/>
      <c r="F6" s="2416"/>
      <c r="G6" s="2416"/>
      <c r="H6" s="2416"/>
    </row>
    <row r="7" spans="1:8" ht="12.75" customHeight="1" x14ac:dyDescent="0.2">
      <c r="A7" s="2408" t="s">
        <v>1702</v>
      </c>
      <c r="B7" s="2408"/>
      <c r="C7" s="2194" t="s">
        <v>11</v>
      </c>
      <c r="D7" s="2416" t="s">
        <v>11</v>
      </c>
      <c r="E7" s="2416"/>
      <c r="F7" s="2416"/>
      <c r="G7" s="2416"/>
      <c r="H7" s="2416"/>
    </row>
    <row r="8" spans="1:8" ht="12.75" customHeight="1" x14ac:dyDescent="0.2">
      <c r="A8" s="2416" t="s">
        <v>2524</v>
      </c>
      <c r="B8" s="2416"/>
      <c r="C8" s="2416"/>
      <c r="D8" s="2416"/>
      <c r="E8" s="2416"/>
      <c r="F8" s="2416"/>
      <c r="G8" s="2416"/>
      <c r="H8" s="2416"/>
    </row>
    <row r="9" spans="1:8" ht="15" customHeight="1" x14ac:dyDescent="0.2">
      <c r="A9" s="2411" t="s">
        <v>2523</v>
      </c>
      <c r="B9" s="2411"/>
      <c r="C9" s="2407">
        <v>358</v>
      </c>
      <c r="D9" s="2413" t="s">
        <v>17</v>
      </c>
      <c r="E9" s="2413"/>
      <c r="F9" s="2413"/>
      <c r="G9" s="2413"/>
      <c r="H9" s="2413"/>
    </row>
    <row r="10" spans="1:8" ht="15" customHeight="1" x14ac:dyDescent="0.2">
      <c r="A10" s="2411"/>
      <c r="B10" s="2411"/>
      <c r="C10" s="2407"/>
      <c r="D10" s="2413"/>
      <c r="E10" s="2413"/>
      <c r="F10" s="2413"/>
      <c r="G10" s="2413"/>
      <c r="H10" s="2413"/>
    </row>
    <row r="11" spans="1:8" ht="15" customHeight="1" x14ac:dyDescent="0.2">
      <c r="A11" s="2417" t="s">
        <v>2359</v>
      </c>
      <c r="B11" s="2417"/>
      <c r="C11" s="2195">
        <v>630</v>
      </c>
      <c r="D11" s="2413"/>
      <c r="E11" s="2413"/>
      <c r="F11" s="2413"/>
      <c r="G11" s="2413"/>
      <c r="H11" s="2413"/>
    </row>
    <row r="12" spans="1:8" ht="15" customHeight="1" x14ac:dyDescent="0.2">
      <c r="A12" s="2409" t="s">
        <v>23</v>
      </c>
      <c r="B12" s="2409"/>
      <c r="C12" s="2196">
        <v>336</v>
      </c>
      <c r="D12" s="2414">
        <v>260</v>
      </c>
      <c r="E12" s="2414"/>
      <c r="F12" s="2414"/>
      <c r="G12" s="2414"/>
      <c r="H12" s="2414"/>
    </row>
    <row r="13" spans="1:8" ht="15" customHeight="1" x14ac:dyDescent="0.2">
      <c r="A13" s="2409" t="s">
        <v>24</v>
      </c>
      <c r="B13" s="2409"/>
      <c r="C13" s="2196">
        <v>344</v>
      </c>
      <c r="D13" s="2414">
        <v>265</v>
      </c>
      <c r="E13" s="2414"/>
      <c r="F13" s="2414"/>
      <c r="G13" s="2414"/>
      <c r="H13" s="2414"/>
    </row>
    <row r="14" spans="1:8" ht="15" customHeight="1" x14ac:dyDescent="0.2">
      <c r="A14" s="2409" t="s">
        <v>1701</v>
      </c>
      <c r="B14" s="2409"/>
      <c r="C14" s="2196">
        <v>351</v>
      </c>
      <c r="D14" s="2414">
        <v>271</v>
      </c>
      <c r="E14" s="2414"/>
      <c r="F14" s="2414"/>
      <c r="G14" s="2414"/>
      <c r="H14" s="2414"/>
    </row>
    <row r="15" spans="1:8" ht="15" customHeight="1" x14ac:dyDescent="0.2">
      <c r="A15" s="2409" t="s">
        <v>27</v>
      </c>
      <c r="B15" s="2409"/>
      <c r="C15" s="2196">
        <v>384</v>
      </c>
      <c r="D15" s="2413" t="s">
        <v>17</v>
      </c>
      <c r="E15" s="2413"/>
      <c r="F15" s="2413"/>
      <c r="G15" s="2413"/>
      <c r="H15" s="2413"/>
    </row>
    <row r="16" spans="1:8" ht="15" customHeight="1" x14ac:dyDescent="0.2">
      <c r="A16" s="2409" t="s">
        <v>28</v>
      </c>
      <c r="B16" s="2409"/>
      <c r="C16" s="2196">
        <v>384</v>
      </c>
      <c r="D16" s="2413"/>
      <c r="E16" s="2413"/>
      <c r="F16" s="2413"/>
      <c r="G16" s="2413"/>
      <c r="H16" s="2413"/>
    </row>
    <row r="17" spans="1:8" ht="15" customHeight="1" x14ac:dyDescent="0.2">
      <c r="A17" s="2409" t="s">
        <v>29</v>
      </c>
      <c r="B17" s="2409"/>
      <c r="C17" s="2196">
        <v>383</v>
      </c>
      <c r="D17" s="2413"/>
      <c r="E17" s="2413"/>
      <c r="F17" s="2413"/>
      <c r="G17" s="2413"/>
      <c r="H17" s="2413"/>
    </row>
    <row r="18" spans="1:8" ht="15" customHeight="1" x14ac:dyDescent="0.2">
      <c r="A18" s="2409" t="s">
        <v>34</v>
      </c>
      <c r="B18" s="2409"/>
      <c r="C18" s="2196">
        <v>394</v>
      </c>
      <c r="D18" s="2413"/>
      <c r="E18" s="2413"/>
      <c r="F18" s="2413"/>
      <c r="G18" s="2413"/>
      <c r="H18" s="2413"/>
    </row>
    <row r="19" spans="1:8" ht="15" customHeight="1" x14ac:dyDescent="0.2">
      <c r="A19" s="2409" t="s">
        <v>35</v>
      </c>
      <c r="B19" s="2409"/>
      <c r="C19" s="2196">
        <v>416</v>
      </c>
      <c r="D19" s="2413"/>
      <c r="E19" s="2413"/>
      <c r="F19" s="2413"/>
      <c r="G19" s="2413"/>
      <c r="H19" s="2413"/>
    </row>
    <row r="20" spans="1:8" ht="15" customHeight="1" x14ac:dyDescent="0.2">
      <c r="A20" s="2409" t="s">
        <v>36</v>
      </c>
      <c r="B20" s="2409"/>
      <c r="C20" s="2196">
        <v>408</v>
      </c>
      <c r="D20" s="2413"/>
      <c r="E20" s="2413"/>
      <c r="F20" s="2413"/>
      <c r="G20" s="2413"/>
      <c r="H20" s="2413"/>
    </row>
    <row r="21" spans="1:8" ht="15" customHeight="1" x14ac:dyDescent="0.2">
      <c r="A21" s="2409" t="s">
        <v>37</v>
      </c>
      <c r="B21" s="2409"/>
      <c r="C21" s="2196">
        <v>408</v>
      </c>
      <c r="D21" s="2413"/>
      <c r="E21" s="2413"/>
      <c r="F21" s="2413"/>
      <c r="G21" s="2413"/>
      <c r="H21" s="2413"/>
    </row>
    <row r="22" spans="1:8" ht="15" customHeight="1" x14ac:dyDescent="0.2">
      <c r="A22" s="2409" t="s">
        <v>2910</v>
      </c>
      <c r="B22" s="2409"/>
      <c r="C22" s="2197">
        <v>341</v>
      </c>
      <c r="D22" s="2413"/>
      <c r="E22" s="2413"/>
      <c r="F22" s="2413"/>
      <c r="G22" s="2413"/>
      <c r="H22" s="2413"/>
    </row>
    <row r="23" spans="1:8" x14ac:dyDescent="0.2">
      <c r="A23" s="1711" t="s">
        <v>2915</v>
      </c>
    </row>
    <row r="24" spans="1:8" ht="15" x14ac:dyDescent="0.25">
      <c r="A24" s="1712" t="s">
        <v>2526</v>
      </c>
    </row>
    <row r="25" spans="1:8" ht="12" customHeight="1" x14ac:dyDescent="0.2">
      <c r="A25" s="1712"/>
    </row>
    <row r="26" spans="1:8" ht="14.25" customHeight="1" x14ac:dyDescent="0.2">
      <c r="A26" s="2432" t="s">
        <v>399</v>
      </c>
      <c r="B26" s="2433"/>
      <c r="C26" s="2434"/>
      <c r="D26" s="2429" t="s">
        <v>3410</v>
      </c>
      <c r="E26" s="2430"/>
      <c r="F26" s="2430"/>
      <c r="G26" s="2430"/>
      <c r="H26" s="2431"/>
    </row>
    <row r="27" spans="1:8" x14ac:dyDescent="0.2">
      <c r="A27" s="2435"/>
      <c r="B27" s="2436"/>
      <c r="C27" s="2437"/>
      <c r="D27" s="2418" t="s">
        <v>3411</v>
      </c>
      <c r="E27" s="2418"/>
      <c r="F27" s="2418"/>
      <c r="G27" s="2418" t="s">
        <v>3412</v>
      </c>
      <c r="H27" s="2418"/>
    </row>
    <row r="28" spans="1:8" x14ac:dyDescent="0.2">
      <c r="A28" s="2423" t="s">
        <v>2901</v>
      </c>
      <c r="B28" s="2424"/>
      <c r="C28" s="2425"/>
      <c r="D28" s="2426">
        <v>100</v>
      </c>
      <c r="E28" s="2427"/>
      <c r="F28" s="2427"/>
      <c r="G28" s="2427"/>
      <c r="H28" s="2428"/>
    </row>
    <row r="29" spans="1:8" x14ac:dyDescent="0.2">
      <c r="A29" s="2423" t="s">
        <v>2900</v>
      </c>
      <c r="B29" s="2424"/>
      <c r="C29" s="2425"/>
      <c r="D29" s="2426">
        <v>103</v>
      </c>
      <c r="E29" s="2427"/>
      <c r="F29" s="2427"/>
      <c r="G29" s="2427"/>
      <c r="H29" s="2428"/>
    </row>
    <row r="30" spans="1:8" ht="12.75" customHeight="1" x14ac:dyDescent="0.2">
      <c r="A30" s="2334"/>
      <c r="B30" s="2334"/>
      <c r="C30" s="2334"/>
      <c r="D30" s="2335"/>
      <c r="E30" s="2335"/>
      <c r="F30" s="2335"/>
      <c r="G30" s="2335"/>
      <c r="H30" s="2335"/>
    </row>
    <row r="31" spans="1:8" ht="14.25" customHeight="1" x14ac:dyDescent="0.2">
      <c r="A31" s="2410" t="s">
        <v>1697</v>
      </c>
      <c r="B31" s="2410"/>
      <c r="C31" s="2410"/>
      <c r="D31" s="2410"/>
      <c r="E31" s="2410"/>
      <c r="F31" s="2410"/>
      <c r="G31" s="2410"/>
      <c r="H31" s="2410"/>
    </row>
    <row r="32" spans="1:8" ht="4.5" customHeight="1" x14ac:dyDescent="0.2"/>
    <row r="33" spans="1:8" ht="15" x14ac:dyDescent="0.2">
      <c r="A33" s="2198" t="s">
        <v>1903</v>
      </c>
      <c r="B33" s="2412" t="s">
        <v>1146</v>
      </c>
      <c r="C33" s="2412"/>
      <c r="D33" s="2412" t="s">
        <v>1904</v>
      </c>
      <c r="E33" s="2412"/>
      <c r="F33" s="2412"/>
      <c r="G33" s="2412" t="s">
        <v>802</v>
      </c>
      <c r="H33" s="2412"/>
    </row>
    <row r="34" spans="1:8" s="1546" customFormat="1" ht="20.25" customHeight="1" x14ac:dyDescent="0.2">
      <c r="A34" s="2199">
        <v>0.2</v>
      </c>
      <c r="B34" s="2405" t="s">
        <v>98</v>
      </c>
      <c r="C34" s="2405"/>
      <c r="D34" s="2405">
        <v>0.35</v>
      </c>
      <c r="E34" s="2405"/>
      <c r="F34" s="2405"/>
      <c r="G34" s="2422" t="s">
        <v>2525</v>
      </c>
      <c r="H34" s="2422"/>
    </row>
    <row r="35" spans="1:8" ht="23.25" customHeight="1" x14ac:dyDescent="0.2">
      <c r="A35" s="2420">
        <v>0.3</v>
      </c>
      <c r="B35" s="2405" t="s">
        <v>1906</v>
      </c>
      <c r="C35" s="2405"/>
      <c r="D35" s="2405" t="s">
        <v>1905</v>
      </c>
      <c r="E35" s="2405"/>
      <c r="F35" s="2405"/>
      <c r="G35" s="2419" t="s">
        <v>1907</v>
      </c>
      <c r="H35" s="2419"/>
    </row>
    <row r="36" spans="1:8" ht="23.25" customHeight="1" x14ac:dyDescent="0.2">
      <c r="A36" s="2420"/>
      <c r="B36" s="2405"/>
      <c r="C36" s="2405"/>
      <c r="D36" s="2405"/>
      <c r="E36" s="2405"/>
      <c r="F36" s="2405"/>
      <c r="G36" s="2421" t="s">
        <v>1908</v>
      </c>
      <c r="H36" s="2421"/>
    </row>
    <row r="38" spans="1:8" x14ac:dyDescent="0.2">
      <c r="A38" s="1712"/>
      <c r="B38" s="1712"/>
      <c r="C38" s="1712"/>
      <c r="D38" s="1712"/>
      <c r="E38" s="1712"/>
      <c r="F38" s="1712"/>
      <c r="G38" s="1712"/>
      <c r="H38" s="1712"/>
    </row>
    <row r="43" spans="1:8" ht="21" customHeight="1" x14ac:dyDescent="0.2"/>
  </sheetData>
  <mergeCells count="51">
    <mergeCell ref="A28:C28"/>
    <mergeCell ref="A29:C29"/>
    <mergeCell ref="D28:H28"/>
    <mergeCell ref="D29:H29"/>
    <mergeCell ref="D26:H26"/>
    <mergeCell ref="D27:F27"/>
    <mergeCell ref="G27:H27"/>
    <mergeCell ref="A26:C27"/>
    <mergeCell ref="G33:H33"/>
    <mergeCell ref="G35:H35"/>
    <mergeCell ref="A35:A36"/>
    <mergeCell ref="G36:H36"/>
    <mergeCell ref="B35:C36"/>
    <mergeCell ref="D34:F34"/>
    <mergeCell ref="D35:F36"/>
    <mergeCell ref="G34:H34"/>
    <mergeCell ref="A2:H2"/>
    <mergeCell ref="A3:B5"/>
    <mergeCell ref="A6:B6"/>
    <mergeCell ref="A8:H8"/>
    <mergeCell ref="A11:B11"/>
    <mergeCell ref="G5:H5"/>
    <mergeCell ref="D5:F5"/>
    <mergeCell ref="D3:H4"/>
    <mergeCell ref="D6:H6"/>
    <mergeCell ref="D7:H7"/>
    <mergeCell ref="A15:B15"/>
    <mergeCell ref="A14:B14"/>
    <mergeCell ref="A22:B22"/>
    <mergeCell ref="A20:B20"/>
    <mergeCell ref="D9:H11"/>
    <mergeCell ref="D12:H12"/>
    <mergeCell ref="D13:H13"/>
    <mergeCell ref="D14:H14"/>
    <mergeCell ref="D15:H22"/>
    <mergeCell ref="A1:H1"/>
    <mergeCell ref="B34:C34"/>
    <mergeCell ref="C3:C5"/>
    <mergeCell ref="C9:C10"/>
    <mergeCell ref="A7:B7"/>
    <mergeCell ref="A18:B18"/>
    <mergeCell ref="A12:B12"/>
    <mergeCell ref="A13:B13"/>
    <mergeCell ref="A19:B19"/>
    <mergeCell ref="A21:B21"/>
    <mergeCell ref="A16:B16"/>
    <mergeCell ref="A17:B17"/>
    <mergeCell ref="A31:H31"/>
    <mergeCell ref="A9:B10"/>
    <mergeCell ref="D33:F33"/>
    <mergeCell ref="B33:C33"/>
  </mergeCells>
  <printOptions horizontalCentered="1"/>
  <pageMargins left="0.19685039370078741" right="0" top="0.74803149606299213" bottom="0.74803149606299213" header="0.31496062992125984" footer="0.31496062992125984"/>
  <pageSetup paperSize="9" scale="92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240"/>
  <sheetViews>
    <sheetView topLeftCell="A46" zoomScale="40" zoomScaleNormal="40" zoomScaleSheetLayoutView="30" workbookViewId="0">
      <selection activeCell="A65" sqref="A65"/>
    </sheetView>
  </sheetViews>
  <sheetFormatPr defaultRowHeight="12.75" x14ac:dyDescent="0.2"/>
  <cols>
    <col min="1" max="1" width="117.5703125" style="21" customWidth="1"/>
    <col min="2" max="2" width="23.28515625" style="21" customWidth="1"/>
    <col min="3" max="3" width="20.5703125" style="21" customWidth="1"/>
    <col min="4" max="4" width="32.42578125" style="21" customWidth="1"/>
    <col min="5" max="5" width="20.5703125" style="21" customWidth="1"/>
    <col min="6" max="6" width="33.42578125" style="21" customWidth="1"/>
    <col min="7" max="8" width="35.7109375" style="21" customWidth="1"/>
    <col min="9" max="9" width="34.7109375" style="21" customWidth="1"/>
    <col min="10" max="10" width="33.5703125" style="21" customWidth="1"/>
    <col min="11" max="11" width="37.5703125" style="21" customWidth="1"/>
    <col min="12" max="12" width="37.140625" style="21" customWidth="1"/>
    <col min="13" max="13" width="40.140625" style="21" customWidth="1"/>
    <col min="14" max="14" width="38.42578125" style="21" customWidth="1"/>
    <col min="15" max="15" width="23" style="21" customWidth="1"/>
    <col min="16" max="16" width="27.140625" style="21" customWidth="1"/>
    <col min="17" max="129" width="9.140625" style="21"/>
    <col min="130" max="130" width="58.140625" style="21" customWidth="1"/>
    <col min="131" max="131" width="15.140625" style="21" customWidth="1"/>
    <col min="132" max="134" width="25.85546875" style="21" customWidth="1"/>
    <col min="135" max="137" width="28" style="21" customWidth="1"/>
    <col min="138" max="140" width="25.85546875" style="21" customWidth="1"/>
    <col min="141" max="141" width="29" style="21" customWidth="1"/>
    <col min="142" max="142" width="26.140625" style="21" customWidth="1"/>
    <col min="143" max="144" width="27.140625" style="21" customWidth="1"/>
    <col min="145" max="16384" width="9.140625" style="21"/>
  </cols>
  <sheetData>
    <row r="1" spans="1:16" s="1" customFormat="1" ht="20.25" x14ac:dyDescent="0.25">
      <c r="A1" s="2462"/>
      <c r="B1" s="2462"/>
      <c r="C1" s="2462"/>
      <c r="D1" s="2462"/>
      <c r="E1" s="2462"/>
      <c r="F1" s="2462"/>
      <c r="G1" s="2462"/>
      <c r="H1" s="2462"/>
      <c r="I1" s="2462"/>
      <c r="J1" s="2462"/>
      <c r="K1" s="2462"/>
      <c r="L1" s="2462"/>
      <c r="M1" s="2462"/>
      <c r="N1" s="2462"/>
    </row>
    <row r="2" spans="1:16" s="1" customFormat="1" ht="41.25" customHeight="1" x14ac:dyDescent="0.25">
      <c r="A2" s="2462"/>
      <c r="B2" s="2462"/>
      <c r="C2" s="2462"/>
      <c r="D2" s="2462"/>
      <c r="E2" s="2462"/>
      <c r="F2" s="2462"/>
      <c r="G2" s="2462"/>
      <c r="H2" s="2462"/>
      <c r="I2" s="2462"/>
      <c r="J2" s="2462"/>
      <c r="K2" s="2462"/>
      <c r="L2" s="2462"/>
      <c r="M2" s="2462"/>
      <c r="N2" s="2462"/>
    </row>
    <row r="3" spans="1:16" s="1" customFormat="1" ht="27.75" customHeight="1" x14ac:dyDescent="0.25">
      <c r="A3" s="2462"/>
      <c r="B3" s="2462"/>
      <c r="C3" s="2462"/>
      <c r="D3" s="2462"/>
      <c r="E3" s="2462"/>
      <c r="F3" s="2462"/>
      <c r="G3" s="2462"/>
      <c r="H3" s="2462"/>
      <c r="I3" s="2462"/>
      <c r="J3" s="2462"/>
      <c r="K3" s="2462"/>
      <c r="L3" s="2462"/>
      <c r="M3" s="2462"/>
      <c r="N3" s="2462"/>
    </row>
    <row r="4" spans="1:16" s="1" customFormat="1" ht="27" customHeight="1" x14ac:dyDescent="0.25">
      <c r="A4" s="2462"/>
      <c r="B4" s="2462"/>
      <c r="C4" s="2462"/>
      <c r="D4" s="2462"/>
      <c r="E4" s="2462"/>
      <c r="F4" s="2462"/>
      <c r="G4" s="2462"/>
      <c r="H4" s="2462"/>
      <c r="I4" s="2462"/>
      <c r="J4" s="2462"/>
      <c r="K4" s="2462"/>
      <c r="L4" s="2462"/>
      <c r="M4" s="2462"/>
      <c r="N4" s="2462"/>
    </row>
    <row r="5" spans="1:16" s="1" customFormat="1" ht="27.75" customHeight="1" x14ac:dyDescent="0.25">
      <c r="A5" s="2462"/>
      <c r="B5" s="2462"/>
      <c r="C5" s="2462"/>
      <c r="D5" s="2462"/>
      <c r="E5" s="2462"/>
      <c r="F5" s="2462"/>
      <c r="G5" s="2462"/>
      <c r="H5" s="2462"/>
      <c r="I5" s="2462"/>
      <c r="J5" s="2462"/>
      <c r="K5" s="2462"/>
      <c r="L5" s="2462"/>
      <c r="M5" s="2462"/>
      <c r="N5" s="2462"/>
    </row>
    <row r="6" spans="1:16" s="1" customFormat="1" ht="24" customHeight="1" thickBot="1" x14ac:dyDescent="0.3">
      <c r="A6" s="2462"/>
      <c r="B6" s="2462"/>
      <c r="C6" s="2462"/>
      <c r="D6" s="2462"/>
      <c r="E6" s="2462"/>
      <c r="F6" s="2462"/>
      <c r="G6" s="2462"/>
      <c r="H6" s="2462"/>
      <c r="I6" s="2462"/>
      <c r="J6" s="2462"/>
      <c r="K6" s="2462"/>
      <c r="L6" s="2462"/>
      <c r="M6" s="2462"/>
      <c r="N6" s="2462"/>
    </row>
    <row r="7" spans="1:16" s="1" customFormat="1" ht="29.25" customHeight="1" x14ac:dyDescent="0.25">
      <c r="A7" s="2463" t="s">
        <v>0</v>
      </c>
      <c r="B7" s="2463"/>
      <c r="C7" s="2463"/>
      <c r="D7" s="2463"/>
      <c r="E7" s="2463"/>
      <c r="F7" s="2463"/>
      <c r="G7" s="2463"/>
      <c r="H7" s="2463"/>
      <c r="I7" s="2463"/>
      <c r="J7" s="2463"/>
      <c r="K7" s="2463"/>
      <c r="L7" s="2463"/>
      <c r="M7" s="2463"/>
      <c r="N7" s="2463"/>
      <c r="O7" s="904"/>
      <c r="P7" s="2"/>
    </row>
    <row r="8" spans="1:16" s="1" customFormat="1" ht="26.25" x14ac:dyDescent="0.25">
      <c r="A8" s="3"/>
      <c r="B8" s="23"/>
      <c r="C8" s="23"/>
      <c r="D8" s="23"/>
      <c r="E8" s="23"/>
      <c r="F8" s="23"/>
      <c r="G8" s="5"/>
      <c r="H8" s="5"/>
      <c r="I8" s="6"/>
      <c r="L8" s="915" t="s">
        <v>1</v>
      </c>
      <c r="N8" s="953">
        <v>42485</v>
      </c>
    </row>
    <row r="9" spans="1:16" s="1" customFormat="1" ht="27" customHeight="1" x14ac:dyDescent="0.25">
      <c r="A9" s="2464" t="s">
        <v>2</v>
      </c>
      <c r="B9" s="2466" t="s">
        <v>1667</v>
      </c>
      <c r="C9" s="2466"/>
      <c r="D9" s="2467" t="s">
        <v>1668</v>
      </c>
      <c r="E9" s="2467" t="s">
        <v>3</v>
      </c>
      <c r="F9" s="2472" t="s">
        <v>3391</v>
      </c>
      <c r="G9" s="2472"/>
      <c r="H9" s="2472"/>
      <c r="I9" s="2472"/>
      <c r="J9" s="2472"/>
      <c r="K9" s="2472"/>
      <c r="L9" s="2472"/>
      <c r="M9" s="2472"/>
      <c r="N9" s="2472"/>
      <c r="O9" s="7"/>
      <c r="P9" s="8"/>
    </row>
    <row r="10" spans="1:16" s="1" customFormat="1" ht="26.25" customHeight="1" x14ac:dyDescent="0.25">
      <c r="A10" s="2464"/>
      <c r="B10" s="2466"/>
      <c r="C10" s="2466"/>
      <c r="D10" s="2468"/>
      <c r="E10" s="2468"/>
      <c r="F10" s="2473" t="s">
        <v>3144</v>
      </c>
      <c r="G10" s="2473"/>
      <c r="H10" s="2473"/>
      <c r="I10" s="2473"/>
      <c r="J10" s="2473"/>
      <c r="K10" s="2474"/>
      <c r="L10" s="2470" t="s">
        <v>1669</v>
      </c>
      <c r="M10" s="2471"/>
      <c r="N10" s="2471"/>
      <c r="O10" s="7"/>
      <c r="P10" s="9"/>
    </row>
    <row r="11" spans="1:16" s="1" customFormat="1" ht="78" customHeight="1" x14ac:dyDescent="0.25">
      <c r="A11" s="2465"/>
      <c r="B11" s="1502" t="s">
        <v>368</v>
      </c>
      <c r="C11" s="1502" t="s">
        <v>369</v>
      </c>
      <c r="D11" s="2469"/>
      <c r="E11" s="2469"/>
      <c r="F11" s="1516" t="s">
        <v>1767</v>
      </c>
      <c r="G11" s="1887" t="s">
        <v>1643</v>
      </c>
      <c r="H11" s="1510" t="s">
        <v>1645</v>
      </c>
      <c r="I11" s="1516" t="s">
        <v>1646</v>
      </c>
      <c r="J11" s="1932" t="s">
        <v>1647</v>
      </c>
      <c r="K11" s="1931" t="s">
        <v>2346</v>
      </c>
      <c r="L11" s="920" t="s">
        <v>1644</v>
      </c>
      <c r="M11" s="920" t="s">
        <v>1900</v>
      </c>
      <c r="N11" s="921" t="s">
        <v>1901</v>
      </c>
    </row>
    <row r="12" spans="1:16" s="1" customFormat="1" ht="27" x14ac:dyDescent="0.25">
      <c r="A12" s="2453" t="s">
        <v>4</v>
      </c>
      <c r="B12" s="2454"/>
      <c r="C12" s="2454"/>
      <c r="D12" s="2454"/>
      <c r="E12" s="2455"/>
      <c r="F12" s="905" t="s">
        <v>5</v>
      </c>
      <c r="G12" s="905" t="s">
        <v>7</v>
      </c>
      <c r="H12" s="905" t="s">
        <v>5</v>
      </c>
      <c r="I12" s="905" t="s">
        <v>8</v>
      </c>
      <c r="J12" s="905" t="s">
        <v>9</v>
      </c>
      <c r="K12" s="1514">
        <v>0.45</v>
      </c>
      <c r="L12" s="922" t="s">
        <v>1670</v>
      </c>
      <c r="M12" s="922" t="s">
        <v>1670</v>
      </c>
      <c r="N12" s="923" t="s">
        <v>6</v>
      </c>
    </row>
    <row r="13" spans="1:16" s="1" customFormat="1" ht="25.5" customHeight="1" x14ac:dyDescent="0.25">
      <c r="A13" s="2475" t="s">
        <v>10</v>
      </c>
      <c r="B13" s="2476"/>
      <c r="C13" s="2476"/>
      <c r="D13" s="2476"/>
      <c r="E13" s="2477"/>
      <c r="F13" s="906" t="s">
        <v>11</v>
      </c>
      <c r="G13" s="906" t="s">
        <v>11</v>
      </c>
      <c r="H13" s="906" t="s">
        <v>12</v>
      </c>
      <c r="I13" s="906" t="s">
        <v>13</v>
      </c>
      <c r="J13" s="906" t="s">
        <v>13</v>
      </c>
      <c r="K13" s="1515" t="s">
        <v>2248</v>
      </c>
      <c r="L13" s="924" t="s">
        <v>11</v>
      </c>
      <c r="M13" s="924" t="s">
        <v>11</v>
      </c>
      <c r="N13" s="924" t="s">
        <v>11</v>
      </c>
    </row>
    <row r="14" spans="1:16" s="1" customFormat="1" ht="29.25" customHeight="1" x14ac:dyDescent="0.25">
      <c r="A14" s="2449" t="s">
        <v>1899</v>
      </c>
      <c r="B14" s="2450"/>
      <c r="C14" s="2450"/>
      <c r="D14" s="2450"/>
      <c r="E14" s="2450"/>
      <c r="F14" s="2450"/>
      <c r="G14" s="2450"/>
      <c r="H14" s="2450"/>
      <c r="I14" s="2450"/>
      <c r="J14" s="2450"/>
      <c r="K14" s="2450"/>
      <c r="L14" s="2450"/>
      <c r="M14" s="2450"/>
      <c r="N14" s="2450"/>
      <c r="O14" s="7"/>
      <c r="P14" s="9"/>
    </row>
    <row r="15" spans="1:16" s="1" customFormat="1" ht="52.5" customHeight="1" x14ac:dyDescent="0.25">
      <c r="A15" s="2190" t="s">
        <v>3205</v>
      </c>
      <c r="B15" s="1157">
        <v>1150</v>
      </c>
      <c r="C15" s="1157">
        <v>1100</v>
      </c>
      <c r="D15" s="1157" t="s">
        <v>1898</v>
      </c>
      <c r="E15" s="28" t="s">
        <v>17</v>
      </c>
      <c r="F15" s="2478"/>
      <c r="G15" s="2478"/>
      <c r="H15" s="2478"/>
      <c r="I15" s="2478"/>
      <c r="J15" s="2479"/>
      <c r="K15" s="1519" t="str">
        <f>ROUND(450*(1-F75),2)&amp;" / 558 / 621 ***"</f>
        <v>450 / 558 / 621 ***</v>
      </c>
      <c r="L15" s="2448" t="s">
        <v>17</v>
      </c>
      <c r="M15" s="2478"/>
      <c r="N15" s="2479"/>
      <c r="O15" s="9"/>
      <c r="P15" s="9"/>
    </row>
    <row r="16" spans="1:16" s="1" customFormat="1" ht="37.5" customHeight="1" x14ac:dyDescent="0.25">
      <c r="A16" s="26" t="s">
        <v>1696</v>
      </c>
      <c r="B16" s="1504">
        <v>1180</v>
      </c>
      <c r="C16" s="1504">
        <v>1085</v>
      </c>
      <c r="D16" s="1504" t="s">
        <v>1671</v>
      </c>
      <c r="E16" s="28" t="s">
        <v>17</v>
      </c>
      <c r="F16" s="2211">
        <f>ROUND(468*(1-B75),2)</f>
        <v>468</v>
      </c>
      <c r="G16" s="2211">
        <f>ROUND(484*(1-B75),2)</f>
        <v>484</v>
      </c>
      <c r="H16" s="2211">
        <f>ROUND(531*(1-B75),2)</f>
        <v>531</v>
      </c>
      <c r="I16" s="2211">
        <f>ROUND(685*(1-B75),2)</f>
        <v>685</v>
      </c>
      <c r="J16" s="2211">
        <f>ROUND(743*(1-B75),2)</f>
        <v>743</v>
      </c>
      <c r="K16" s="2211" t="s">
        <v>17</v>
      </c>
      <c r="L16" s="2211">
        <f>ROUND(534*(1-B75),2)</f>
        <v>534</v>
      </c>
      <c r="M16" s="2211">
        <f>ROUND(622*(1-B75),2)</f>
        <v>622</v>
      </c>
      <c r="N16" s="916" t="s">
        <v>17</v>
      </c>
      <c r="O16" s="9"/>
      <c r="P16" s="9"/>
    </row>
    <row r="17" spans="1:16" s="1" customFormat="1" ht="38.25" customHeight="1" x14ac:dyDescent="0.25">
      <c r="A17" s="30" t="s">
        <v>16</v>
      </c>
      <c r="B17" s="1504">
        <v>1210</v>
      </c>
      <c r="C17" s="1504">
        <v>1150</v>
      </c>
      <c r="D17" s="1504" t="s">
        <v>1671</v>
      </c>
      <c r="E17" s="28" t="s">
        <v>17</v>
      </c>
      <c r="F17" s="29">
        <f>ROUND(468*(1-B75),2)</f>
        <v>468</v>
      </c>
      <c r="G17" s="29">
        <f>ROUND(484*(1-B75),2)</f>
        <v>484</v>
      </c>
      <c r="H17" s="29">
        <f>ROUND(531*(1-B75),2)</f>
        <v>531</v>
      </c>
      <c r="I17" s="29">
        <f>ROUND(685*(1-B75),2)</f>
        <v>685</v>
      </c>
      <c r="J17" s="29">
        <f>ROUND(743*(1-B75),2)</f>
        <v>743</v>
      </c>
      <c r="K17" s="2211" t="s">
        <v>17</v>
      </c>
      <c r="L17" s="29">
        <f>ROUND(534*(1-B75),2)</f>
        <v>534</v>
      </c>
      <c r="M17" s="29">
        <f>ROUND(622*(1-B75),2)</f>
        <v>622</v>
      </c>
      <c r="N17" s="29" t="s">
        <v>17</v>
      </c>
    </row>
    <row r="18" spans="1:16" s="1" customFormat="1" ht="38.25" customHeight="1" x14ac:dyDescent="0.25">
      <c r="A18" s="30" t="s">
        <v>18</v>
      </c>
      <c r="B18" s="1504">
        <v>1180</v>
      </c>
      <c r="C18" s="1504">
        <v>1100</v>
      </c>
      <c r="D18" s="1504" t="s">
        <v>1671</v>
      </c>
      <c r="E18" s="28" t="s">
        <v>17</v>
      </c>
      <c r="F18" s="29">
        <f>ROUND(468*(1-B75),2)</f>
        <v>468</v>
      </c>
      <c r="G18" s="29">
        <f>ROUND(484*(1-B75),2)</f>
        <v>484</v>
      </c>
      <c r="H18" s="29">
        <f>ROUND(531*(1-B75),2)</f>
        <v>531</v>
      </c>
      <c r="I18" s="29">
        <f>ROUND(685*(1-B75),2)</f>
        <v>685</v>
      </c>
      <c r="J18" s="29">
        <f>ROUND(743*(1-B75),2)</f>
        <v>743</v>
      </c>
      <c r="K18" s="2211" t="s">
        <v>17</v>
      </c>
      <c r="L18" s="29">
        <f>ROUND(534*(1-B75),2)</f>
        <v>534</v>
      </c>
      <c r="M18" s="29">
        <f>ROUND(622*(1-B75),2)</f>
        <v>622</v>
      </c>
      <c r="N18" s="29" t="s">
        <v>17</v>
      </c>
    </row>
    <row r="19" spans="1:16" s="1" customFormat="1" ht="38.25" customHeight="1" x14ac:dyDescent="0.25">
      <c r="A19" s="30" t="s">
        <v>19</v>
      </c>
      <c r="B19" s="1504">
        <v>1200</v>
      </c>
      <c r="C19" s="1504">
        <v>1120</v>
      </c>
      <c r="D19" s="1504" t="s">
        <v>1671</v>
      </c>
      <c r="E19" s="28" t="s">
        <v>17</v>
      </c>
      <c r="F19" s="29">
        <f>ROUND(478*(1-B75),2)</f>
        <v>478</v>
      </c>
      <c r="G19" s="29">
        <f>ROUND(494*(1-B75),2)</f>
        <v>494</v>
      </c>
      <c r="H19" s="29">
        <f>ROUND(541*(1-B75),2)</f>
        <v>541</v>
      </c>
      <c r="I19" s="29">
        <f>ROUND(695*(1-B75),2)</f>
        <v>695</v>
      </c>
      <c r="J19" s="29">
        <f>ROUND(753*(1-B75),2)</f>
        <v>753</v>
      </c>
      <c r="K19" s="2211" t="s">
        <v>17</v>
      </c>
      <c r="L19" s="29">
        <f>ROUND(544*(1-B75),2)</f>
        <v>544</v>
      </c>
      <c r="M19" s="29">
        <f>ROUND(632*(1-B75),2)</f>
        <v>632</v>
      </c>
      <c r="N19" s="29" t="s">
        <v>17</v>
      </c>
    </row>
    <row r="20" spans="1:16" s="1" customFormat="1" ht="53.25" customHeight="1" x14ac:dyDescent="0.25">
      <c r="A20" s="1605" t="s">
        <v>2347</v>
      </c>
      <c r="B20" s="1611">
        <v>356.7</v>
      </c>
      <c r="C20" s="1590">
        <v>325</v>
      </c>
      <c r="D20" s="1612" t="s">
        <v>2358</v>
      </c>
      <c r="E20" s="28" t="s">
        <v>17</v>
      </c>
      <c r="F20" s="2212">
        <f>ROUND(688*(1-I75),2)</f>
        <v>688</v>
      </c>
      <c r="G20" s="2212">
        <f>ROUND(710*(1-I75),2)</f>
        <v>710</v>
      </c>
      <c r="H20" s="2212">
        <f>ROUND(763*(1-I75),2)</f>
        <v>763</v>
      </c>
      <c r="I20" s="2212">
        <f>ROUND(1004*(1-I75),2)</f>
        <v>1004</v>
      </c>
      <c r="J20" s="2212">
        <f>ROUND(1067*(1-I75),2)</f>
        <v>1067</v>
      </c>
      <c r="K20" s="2212" t="s">
        <v>17</v>
      </c>
      <c r="L20" s="2212">
        <f>ROUND(818*(1-I75),2)</f>
        <v>818</v>
      </c>
      <c r="M20" s="2212">
        <f>ROUND(929*(1-I75),2)</f>
        <v>929</v>
      </c>
      <c r="N20" s="1590" t="s">
        <v>17</v>
      </c>
    </row>
    <row r="21" spans="1:16" s="1" customFormat="1" ht="38.25" customHeight="1" x14ac:dyDescent="0.25">
      <c r="A21" s="30" t="s">
        <v>20</v>
      </c>
      <c r="B21" s="1504">
        <v>625</v>
      </c>
      <c r="C21" s="1504">
        <v>550</v>
      </c>
      <c r="D21" s="1850" t="s">
        <v>2863</v>
      </c>
      <c r="E21" s="28" t="s">
        <v>17</v>
      </c>
      <c r="F21" s="29">
        <f>ROUND(459*(1-B75),2)</f>
        <v>459</v>
      </c>
      <c r="G21" s="29">
        <f>ROUND(472*(1-B75),2)</f>
        <v>472</v>
      </c>
      <c r="H21" s="29">
        <f>ROUND(515*(1-B75),2)</f>
        <v>515</v>
      </c>
      <c r="I21" s="29">
        <f>ROUND(652*(1-B75),2)</f>
        <v>652</v>
      </c>
      <c r="J21" s="29">
        <f>ROUND(703*(1-B75),2)</f>
        <v>703</v>
      </c>
      <c r="K21" s="2211" t="s">
        <v>17</v>
      </c>
      <c r="L21" s="29">
        <f>ROUND(516*(1-B75),2)</f>
        <v>516</v>
      </c>
      <c r="M21" s="29">
        <f>ROUND(595*(1-B75),2)</f>
        <v>595</v>
      </c>
      <c r="N21" s="29" t="s">
        <v>17</v>
      </c>
    </row>
    <row r="22" spans="1:16" s="1" customFormat="1" ht="38.25" customHeight="1" x14ac:dyDescent="0.25">
      <c r="A22" s="30" t="s">
        <v>21</v>
      </c>
      <c r="B22" s="1504">
        <v>542</v>
      </c>
      <c r="C22" s="1504">
        <v>510</v>
      </c>
      <c r="D22" s="1850" t="s">
        <v>2863</v>
      </c>
      <c r="E22" s="28" t="s">
        <v>17</v>
      </c>
      <c r="F22" s="29">
        <f>ROUND(529*(1-B75),2)</f>
        <v>529</v>
      </c>
      <c r="G22" s="29">
        <f>ROUND(544*(1-B75),2)</f>
        <v>544</v>
      </c>
      <c r="H22" s="29">
        <f>ROUND(594*(1-B75),2)</f>
        <v>594</v>
      </c>
      <c r="I22" s="29">
        <f>ROUND(752*(1-B75),2)</f>
        <v>752</v>
      </c>
      <c r="J22" s="29">
        <f>ROUND(811*(1-B75),2)</f>
        <v>811</v>
      </c>
      <c r="K22" s="2211" t="s">
        <v>17</v>
      </c>
      <c r="L22" s="29">
        <f>ROUND(600*(1-B75),2)</f>
        <v>600</v>
      </c>
      <c r="M22" s="29">
        <f>ROUND(686*(1-B75),2)</f>
        <v>686</v>
      </c>
      <c r="N22" s="29" t="s">
        <v>17</v>
      </c>
    </row>
    <row r="23" spans="1:16" s="1" customFormat="1" ht="29.25" customHeight="1" x14ac:dyDescent="0.25">
      <c r="A23" s="2449" t="s">
        <v>22</v>
      </c>
      <c r="B23" s="2450"/>
      <c r="C23" s="2450"/>
      <c r="D23" s="2450"/>
      <c r="E23" s="2450"/>
      <c r="F23" s="2450"/>
      <c r="G23" s="2450"/>
      <c r="H23" s="2450"/>
      <c r="I23" s="2450"/>
      <c r="J23" s="2450"/>
      <c r="K23" s="2450"/>
      <c r="L23" s="2450"/>
      <c r="M23" s="2450"/>
      <c r="N23" s="2450"/>
      <c r="O23" s="7"/>
      <c r="P23" s="9"/>
    </row>
    <row r="24" spans="1:16" s="1" customFormat="1" ht="38.25" customHeight="1" x14ac:dyDescent="0.25">
      <c r="A24" s="30" t="s">
        <v>23</v>
      </c>
      <c r="B24" s="1504">
        <v>1200</v>
      </c>
      <c r="C24" s="1504">
        <v>1160</v>
      </c>
      <c r="D24" s="1504" t="s">
        <v>1672</v>
      </c>
      <c r="E24" s="28">
        <v>1</v>
      </c>
      <c r="F24" s="29">
        <f>ROUND(436*(1-B75),2)</f>
        <v>436</v>
      </c>
      <c r="G24" s="29">
        <f>ROUND(450*(1-B75),2)</f>
        <v>450</v>
      </c>
      <c r="H24" s="29">
        <f>ROUND(495*(1-B75),2)</f>
        <v>495</v>
      </c>
      <c r="I24" s="29">
        <f>ROUND(637*(1-B75),2)</f>
        <v>637</v>
      </c>
      <c r="J24" s="29">
        <f>ROUND(691*(1-B75),2)</f>
        <v>691</v>
      </c>
      <c r="K24" s="29" t="s">
        <v>17</v>
      </c>
      <c r="L24" s="29">
        <f>ROUND(496*(1-B75),2)</f>
        <v>496</v>
      </c>
      <c r="M24" s="29">
        <f>ROUND(578*(1-B75),2)</f>
        <v>578</v>
      </c>
      <c r="N24" s="29">
        <f>ROUND(748*(1-B75),2)</f>
        <v>748</v>
      </c>
    </row>
    <row r="25" spans="1:16" s="1" customFormat="1" ht="38.25" customHeight="1" x14ac:dyDescent="0.25">
      <c r="A25" s="30" t="s">
        <v>24</v>
      </c>
      <c r="B25" s="1504">
        <v>1180</v>
      </c>
      <c r="C25" s="1504">
        <v>1150</v>
      </c>
      <c r="D25" s="1504" t="s">
        <v>1672</v>
      </c>
      <c r="E25" s="28">
        <v>1.0169999999999999</v>
      </c>
      <c r="F25" s="29">
        <f>ROUND(446*(1-B75),2)</f>
        <v>446</v>
      </c>
      <c r="G25" s="29">
        <f>ROUND(460*(1-B75),2)</f>
        <v>460</v>
      </c>
      <c r="H25" s="29">
        <f>ROUND(505*(1-B75),2)</f>
        <v>505</v>
      </c>
      <c r="I25" s="29">
        <f>ROUND(650*(1-B75),2)</f>
        <v>650</v>
      </c>
      <c r="J25" s="29">
        <f>ROUND(704*(1-B75),2)</f>
        <v>704</v>
      </c>
      <c r="K25" s="29" t="s">
        <v>17</v>
      </c>
      <c r="L25" s="29">
        <f>ROUND(507*(1-B75),2)</f>
        <v>507</v>
      </c>
      <c r="M25" s="29">
        <f>ROUND(589*(1-B75),2)</f>
        <v>589</v>
      </c>
      <c r="N25" s="29">
        <f>ROUND(763*(1-B75),2)</f>
        <v>763</v>
      </c>
    </row>
    <row r="26" spans="1:16" s="1" customFormat="1" ht="38.25" customHeight="1" x14ac:dyDescent="0.25">
      <c r="A26" s="30" t="s">
        <v>25</v>
      </c>
      <c r="B26" s="1504">
        <v>1180</v>
      </c>
      <c r="C26" s="1504">
        <v>1150</v>
      </c>
      <c r="D26" s="1504" t="s">
        <v>1673</v>
      </c>
      <c r="E26" s="28" t="s">
        <v>17</v>
      </c>
      <c r="F26" s="29">
        <f>ROUND(501*(1-B75),2)</f>
        <v>501</v>
      </c>
      <c r="G26" s="29">
        <f>ROUND(515*(1-B75),2)</f>
        <v>515</v>
      </c>
      <c r="H26" s="29">
        <f>ROUND(560*(1-B75),2)</f>
        <v>560</v>
      </c>
      <c r="I26" s="29">
        <f>ROUND(705*(1-B75),2)</f>
        <v>705</v>
      </c>
      <c r="J26" s="29">
        <f>ROUND(759*(1-B75),2)</f>
        <v>759</v>
      </c>
      <c r="K26" s="29" t="s">
        <v>17</v>
      </c>
      <c r="L26" s="29">
        <f>ROUND(568*(1-B75),2)</f>
        <v>568</v>
      </c>
      <c r="M26" s="29">
        <f>ROUND(644*(1-B75),2)</f>
        <v>644</v>
      </c>
      <c r="N26" s="29">
        <f>ROUND(818*(1-B75),2)</f>
        <v>818</v>
      </c>
    </row>
    <row r="27" spans="1:16" s="1" customFormat="1" ht="38.25" customHeight="1" x14ac:dyDescent="0.25">
      <c r="A27" s="30" t="s">
        <v>26</v>
      </c>
      <c r="B27" s="1504">
        <v>1150</v>
      </c>
      <c r="C27" s="1504">
        <v>1110</v>
      </c>
      <c r="D27" s="1504" t="s">
        <v>1672</v>
      </c>
      <c r="E27" s="28">
        <v>1.0429999999999999</v>
      </c>
      <c r="F27" s="29">
        <f>ROUND(454*(1-B75),2)</f>
        <v>454</v>
      </c>
      <c r="G27" s="29">
        <f>ROUND(470*(1-B75),2)</f>
        <v>470</v>
      </c>
      <c r="H27" s="29">
        <f>ROUND(516*(1-B75),2)</f>
        <v>516</v>
      </c>
      <c r="I27" s="29">
        <f>ROUND(664*(1-B75),2)</f>
        <v>664</v>
      </c>
      <c r="J27" s="29">
        <f>ROUND(721*(1-B75),2)</f>
        <v>721</v>
      </c>
      <c r="K27" s="29" t="s">
        <v>17</v>
      </c>
      <c r="L27" s="29">
        <f>ROUND(518*(1-B75),2)</f>
        <v>518</v>
      </c>
      <c r="M27" s="29">
        <f>ROUND(603*(1-B75),2)</f>
        <v>603</v>
      </c>
      <c r="N27" s="29">
        <f>ROUND(781*(1-B75),2)</f>
        <v>781</v>
      </c>
    </row>
    <row r="28" spans="1:16" s="1" customFormat="1" ht="38.25" customHeight="1" x14ac:dyDescent="0.25">
      <c r="A28" s="30" t="s">
        <v>27</v>
      </c>
      <c r="B28" s="1504">
        <v>1051</v>
      </c>
      <c r="C28" s="1504">
        <v>1000</v>
      </c>
      <c r="D28" s="1504" t="s">
        <v>1674</v>
      </c>
      <c r="E28" s="28">
        <v>1.1419999999999999</v>
      </c>
      <c r="F28" s="29">
        <f>ROUND(497*(1-B75),2)</f>
        <v>497</v>
      </c>
      <c r="G28" s="29">
        <f>ROUND(514*(1-B75),2)</f>
        <v>514</v>
      </c>
      <c r="H28" s="29">
        <f>ROUND(564*(1-B75),2)</f>
        <v>564</v>
      </c>
      <c r="I28" s="29">
        <f>ROUND(727*(1-B75),2)</f>
        <v>727</v>
      </c>
      <c r="J28" s="29">
        <f>ROUND(789*(1-B75),2)</f>
        <v>789</v>
      </c>
      <c r="K28" s="29" t="s">
        <v>17</v>
      </c>
      <c r="L28" s="29">
        <f>ROUND(567*(1-B75),2)</f>
        <v>567</v>
      </c>
      <c r="M28" s="29">
        <f>ROUND(659*(1-B75),2)</f>
        <v>659</v>
      </c>
      <c r="N28" s="29">
        <f>ROUND(854*(1-B75),2)</f>
        <v>854</v>
      </c>
    </row>
    <row r="29" spans="1:16" s="1" customFormat="1" ht="38.25" customHeight="1" x14ac:dyDescent="0.25">
      <c r="A29" s="30" t="s">
        <v>28</v>
      </c>
      <c r="B29" s="1504">
        <v>1060</v>
      </c>
      <c r="C29" s="1504">
        <v>1000</v>
      </c>
      <c r="D29" s="1504" t="s">
        <v>1674</v>
      </c>
      <c r="E29" s="28">
        <v>1.1319999999999999</v>
      </c>
      <c r="F29" s="29">
        <f>ROUND(496*(1-B75),2)</f>
        <v>496</v>
      </c>
      <c r="G29" s="29">
        <f>ROUND(513*(1-B75),2)</f>
        <v>513</v>
      </c>
      <c r="H29" s="29">
        <f>ROUND(563*(1-B75),2)</f>
        <v>563</v>
      </c>
      <c r="I29" s="29">
        <f>ROUND(726*(1-B75),2)</f>
        <v>726</v>
      </c>
      <c r="J29" s="29">
        <f>ROUND(788*(1-B75),2)</f>
        <v>788</v>
      </c>
      <c r="K29" s="29" t="s">
        <v>17</v>
      </c>
      <c r="L29" s="29">
        <f>ROUND(566*(1-B75),2)</f>
        <v>566</v>
      </c>
      <c r="M29" s="29">
        <f>ROUND(658*(1-B75),2)</f>
        <v>658</v>
      </c>
      <c r="N29" s="29">
        <f>ROUND(853*(1-B75),2)</f>
        <v>853</v>
      </c>
    </row>
    <row r="30" spans="1:16" s="1" customFormat="1" ht="38.25" customHeight="1" x14ac:dyDescent="0.25">
      <c r="A30" s="30" t="s">
        <v>29</v>
      </c>
      <c r="B30" s="1504">
        <v>902</v>
      </c>
      <c r="C30" s="1504">
        <v>845</v>
      </c>
      <c r="D30" s="1504" t="s">
        <v>1674</v>
      </c>
      <c r="E30" s="28">
        <v>1.33</v>
      </c>
      <c r="F30" s="29">
        <f>ROUND(580*(1-B75),2)</f>
        <v>580</v>
      </c>
      <c r="G30" s="29">
        <f>ROUND(599*(1-B75),2)</f>
        <v>599</v>
      </c>
      <c r="H30" s="29">
        <f>ROUND(658*(1-B75),2)</f>
        <v>658</v>
      </c>
      <c r="I30" s="29">
        <f>ROUND(847*(1-B75),2)</f>
        <v>847</v>
      </c>
      <c r="J30" s="29">
        <f>ROUND(919*(1-B75),2)</f>
        <v>919</v>
      </c>
      <c r="K30" s="29" t="s">
        <v>17</v>
      </c>
      <c r="L30" s="29">
        <f>ROUND(660*(1-B75),2)</f>
        <v>660</v>
      </c>
      <c r="M30" s="29">
        <f>ROUND(769*(1-B75),2)</f>
        <v>769</v>
      </c>
      <c r="N30" s="29">
        <f>ROUND(995*(1-B75),2)</f>
        <v>995</v>
      </c>
    </row>
    <row r="31" spans="1:16" s="1" customFormat="1" ht="38.25" customHeight="1" x14ac:dyDescent="0.25">
      <c r="A31" s="30" t="s">
        <v>30</v>
      </c>
      <c r="B31" s="1040">
        <v>625</v>
      </c>
      <c r="C31" s="1040" t="s">
        <v>17</v>
      </c>
      <c r="D31" s="2341" t="s">
        <v>3422</v>
      </c>
      <c r="E31" s="1041" t="s">
        <v>17</v>
      </c>
      <c r="F31" s="29">
        <f>ROUND(446*(1-B75),2)</f>
        <v>446</v>
      </c>
      <c r="G31" s="29">
        <f>ROUND(460*(1-B75),2)</f>
        <v>460</v>
      </c>
      <c r="H31" s="29">
        <f>ROUND(505*(1-B75),2)</f>
        <v>505</v>
      </c>
      <c r="I31" s="29">
        <f>ROUND(647*(1-B75),2)</f>
        <v>647</v>
      </c>
      <c r="J31" s="29">
        <f>ROUND(701*(1-B75),2)</f>
        <v>701</v>
      </c>
      <c r="K31" s="29" t="s">
        <v>17</v>
      </c>
      <c r="L31" s="29">
        <f>ROUND(506*(1-B75),2)</f>
        <v>506</v>
      </c>
      <c r="M31" s="29">
        <f>ROUND(588*(1-B75),2)</f>
        <v>588</v>
      </c>
      <c r="N31" s="29">
        <f>ROUND(758*(1-B75),2)</f>
        <v>758</v>
      </c>
    </row>
    <row r="32" spans="1:16" s="1" customFormat="1" ht="38.25" customHeight="1" x14ac:dyDescent="0.25">
      <c r="A32" s="1927" t="s">
        <v>2910</v>
      </c>
      <c r="B32" s="1504">
        <v>1250</v>
      </c>
      <c r="C32" s="1042" t="s">
        <v>17</v>
      </c>
      <c r="D32" s="1042" t="s">
        <v>2911</v>
      </c>
      <c r="E32" s="1042">
        <v>1</v>
      </c>
      <c r="F32" s="2233">
        <f>ROUND(441*(1-B75),2)</f>
        <v>441</v>
      </c>
      <c r="G32" s="2233" t="str">
        <f>ROUND(455*(1-B75),2)&amp;"**"</f>
        <v>455**</v>
      </c>
      <c r="H32" s="2233">
        <f>ROUND(500*(1-B75),2)</f>
        <v>500</v>
      </c>
      <c r="I32" s="2233">
        <f>ROUND(642*(1-B75),2)</f>
        <v>642</v>
      </c>
      <c r="J32" s="2233">
        <f>ROUND(696*(1-B75),2)</f>
        <v>696</v>
      </c>
      <c r="K32" s="29" t="s">
        <v>17</v>
      </c>
      <c r="L32" s="2233">
        <f>ROUND(501*(1-B75),2)</f>
        <v>501</v>
      </c>
      <c r="M32" s="2233">
        <f>ROUND(583*(1-B75),2)</f>
        <v>583</v>
      </c>
      <c r="N32" s="2233">
        <f>ROUND(753*(1-B75),2)</f>
        <v>753</v>
      </c>
    </row>
    <row r="33" spans="1:22" s="1" customFormat="1" ht="29.25" customHeight="1" x14ac:dyDescent="0.25">
      <c r="A33" s="2449" t="s">
        <v>33</v>
      </c>
      <c r="B33" s="2450"/>
      <c r="C33" s="2450"/>
      <c r="D33" s="2450"/>
      <c r="E33" s="2450"/>
      <c r="F33" s="2450"/>
      <c r="G33" s="2450"/>
      <c r="H33" s="2450"/>
      <c r="I33" s="2450"/>
      <c r="J33" s="2450"/>
      <c r="K33" s="2450"/>
      <c r="L33" s="2450"/>
      <c r="M33" s="2450"/>
      <c r="N33" s="2450"/>
      <c r="O33" s="7"/>
      <c r="P33" s="9"/>
    </row>
    <row r="34" spans="1:22" s="1" customFormat="1" ht="38.25" customHeight="1" x14ac:dyDescent="0.25">
      <c r="A34" s="30" t="s">
        <v>34</v>
      </c>
      <c r="B34" s="1504">
        <v>265</v>
      </c>
      <c r="C34" s="1504">
        <v>240</v>
      </c>
      <c r="D34" s="1504" t="s">
        <v>1676</v>
      </c>
      <c r="E34" s="27" t="s">
        <v>17</v>
      </c>
      <c r="F34" s="29">
        <f>ROUND(493*(1-B75),2)</f>
        <v>493</v>
      </c>
      <c r="G34" s="29">
        <f>ROUND(517*(1-B75),2)</f>
        <v>517</v>
      </c>
      <c r="H34" s="29">
        <f>ROUND(567*(1-B75),2)</f>
        <v>567</v>
      </c>
      <c r="I34" s="29">
        <f>ROUND(728*(1-B75),2)</f>
        <v>728</v>
      </c>
      <c r="J34" s="29">
        <f>ROUND(789*(1-B75),2)</f>
        <v>789</v>
      </c>
      <c r="K34" s="29" t="s">
        <v>17</v>
      </c>
      <c r="L34" s="29">
        <f>ROUND(569*(1-B75),2)</f>
        <v>569</v>
      </c>
      <c r="M34" s="29">
        <f>ROUND(655*(1-B75),2)</f>
        <v>655</v>
      </c>
      <c r="N34" s="29">
        <f>ROUND(847*(1-B75),2)</f>
        <v>847</v>
      </c>
    </row>
    <row r="35" spans="1:22" s="1" customFormat="1" ht="38.25" customHeight="1" x14ac:dyDescent="0.25">
      <c r="A35" s="30" t="s">
        <v>35</v>
      </c>
      <c r="B35" s="1504">
        <v>200</v>
      </c>
      <c r="C35" s="1504">
        <v>176</v>
      </c>
      <c r="D35" s="1504" t="s">
        <v>1676</v>
      </c>
      <c r="E35" s="28" t="s">
        <v>17</v>
      </c>
      <c r="F35" s="29">
        <f>ROUND(521*(1-B75),2)</f>
        <v>521</v>
      </c>
      <c r="G35" s="29">
        <f>ROUND(548*(1-B75),2)</f>
        <v>548</v>
      </c>
      <c r="H35" s="29">
        <f>ROUND(601*(1-B75),2)</f>
        <v>601</v>
      </c>
      <c r="I35" s="29">
        <f>ROUND(771*(1-B75),2)</f>
        <v>771</v>
      </c>
      <c r="J35" s="29">
        <f>ROUND(835*(1-B75),2)</f>
        <v>835</v>
      </c>
      <c r="K35" s="29" t="s">
        <v>17</v>
      </c>
      <c r="L35" s="29">
        <f>ROUND(602*(1-B75),2)</f>
        <v>602</v>
      </c>
      <c r="M35" s="29">
        <f>ROUND(692*(1-B75),2)</f>
        <v>692</v>
      </c>
      <c r="N35" s="29">
        <f>ROUND(898*(1-B75),2)</f>
        <v>898</v>
      </c>
    </row>
    <row r="36" spans="1:22" s="1" customFormat="1" ht="38.25" customHeight="1" x14ac:dyDescent="0.25">
      <c r="A36" s="30" t="s">
        <v>36</v>
      </c>
      <c r="B36" s="1504">
        <v>345</v>
      </c>
      <c r="C36" s="1504">
        <v>320</v>
      </c>
      <c r="D36" s="1504" t="s">
        <v>1676</v>
      </c>
      <c r="E36" s="28" t="s">
        <v>17</v>
      </c>
      <c r="F36" s="29">
        <f>ROUND(502*(1-B75),2)</f>
        <v>502</v>
      </c>
      <c r="G36" s="29">
        <f>ROUND(529*(1-B75),2)</f>
        <v>529</v>
      </c>
      <c r="H36" s="29">
        <f>ROUND(580*(1-B75),2)</f>
        <v>580</v>
      </c>
      <c r="I36" s="29">
        <f>ROUND(746*(1-B75),2)</f>
        <v>746</v>
      </c>
      <c r="J36" s="29" t="s">
        <v>17</v>
      </c>
      <c r="K36" s="29" t="s">
        <v>17</v>
      </c>
      <c r="L36" s="29">
        <f>ROUND(582*(1-B75),2)</f>
        <v>582</v>
      </c>
      <c r="M36" s="29">
        <f>ROUND(672*(1-B75),2)</f>
        <v>672</v>
      </c>
      <c r="N36" s="29">
        <f>ROUND(868*(1-B75),2)</f>
        <v>868</v>
      </c>
    </row>
    <row r="37" spans="1:22" s="1" customFormat="1" ht="38.25" customHeight="1" x14ac:dyDescent="0.25">
      <c r="A37" s="30" t="s">
        <v>37</v>
      </c>
      <c r="B37" s="1504">
        <v>390</v>
      </c>
      <c r="C37" s="1504">
        <v>360</v>
      </c>
      <c r="D37" s="1504" t="s">
        <v>1676</v>
      </c>
      <c r="E37" s="28" t="s">
        <v>17</v>
      </c>
      <c r="F37" s="29">
        <f>ROUND(502*(1-B75),2)</f>
        <v>502</v>
      </c>
      <c r="G37" s="29" t="s">
        <v>17</v>
      </c>
      <c r="H37" s="29">
        <f>ROUND(580*(1-B75),2)</f>
        <v>580</v>
      </c>
      <c r="I37" s="29">
        <f>ROUND(746*(1-B75),2)</f>
        <v>746</v>
      </c>
      <c r="J37" s="29" t="s">
        <v>17</v>
      </c>
      <c r="K37" s="29" t="s">
        <v>17</v>
      </c>
      <c r="L37" s="29" t="str">
        <f>ROUND(582*(1-B75),2)&amp;"*****"</f>
        <v>582*****</v>
      </c>
      <c r="M37" s="29" t="str">
        <f>ROUND(672*(1-B75),2)&amp;"*****"</f>
        <v>672*****</v>
      </c>
      <c r="N37" s="29">
        <f>ROUND(868*(1-B75),2)</f>
        <v>868</v>
      </c>
    </row>
    <row r="38" spans="1:22" s="1" customFormat="1" ht="29.25" customHeight="1" x14ac:dyDescent="0.25">
      <c r="A38" s="2449" t="s">
        <v>38</v>
      </c>
      <c r="B38" s="2450"/>
      <c r="C38" s="2450"/>
      <c r="D38" s="2450"/>
      <c r="E38" s="2450"/>
      <c r="F38" s="2450"/>
      <c r="G38" s="2450"/>
      <c r="H38" s="2450"/>
      <c r="I38" s="2450"/>
      <c r="J38" s="2450"/>
      <c r="K38" s="2450"/>
      <c r="L38" s="2450"/>
      <c r="M38" s="2450"/>
      <c r="N38" s="2450"/>
      <c r="O38" s="7"/>
      <c r="P38" s="9"/>
    </row>
    <row r="39" spans="1:22" s="1" customFormat="1" ht="38.25" customHeight="1" x14ac:dyDescent="0.25">
      <c r="A39" s="30" t="s">
        <v>2901</v>
      </c>
      <c r="B39" s="1886" t="s">
        <v>2903</v>
      </c>
      <c r="C39" s="1504" t="s">
        <v>17</v>
      </c>
      <c r="D39" s="1504" t="s">
        <v>1677</v>
      </c>
      <c r="E39" s="27" t="s">
        <v>17</v>
      </c>
      <c r="F39" s="29">
        <f>ROUND(84*(1-B75),2)</f>
        <v>84</v>
      </c>
      <c r="G39" s="29">
        <f>ROUND(90*(1-B75),2)</f>
        <v>90</v>
      </c>
      <c r="H39" s="29">
        <f>ROUND(99*(1-B75),2)</f>
        <v>99</v>
      </c>
      <c r="I39" s="29">
        <f>ROUND(110*(1-B75),2)</f>
        <v>110</v>
      </c>
      <c r="J39" s="29">
        <f>ROUND(127*(1-B75),2)</f>
        <v>127</v>
      </c>
      <c r="K39" s="29" t="s">
        <v>17</v>
      </c>
      <c r="L39" s="29">
        <f>ROUND(99*(1-B75),2)</f>
        <v>99</v>
      </c>
      <c r="M39" s="29">
        <f>ROUND(114*(1-B75),2)</f>
        <v>114</v>
      </c>
      <c r="N39" s="29">
        <f>ROUND(179*(1-B75),2)</f>
        <v>179</v>
      </c>
    </row>
    <row r="40" spans="1:22" s="1" customFormat="1" ht="38.25" customHeight="1" x14ac:dyDescent="0.25">
      <c r="A40" s="30" t="s">
        <v>2900</v>
      </c>
      <c r="B40" s="1886" t="s">
        <v>2903</v>
      </c>
      <c r="C40" s="1504" t="s">
        <v>17</v>
      </c>
      <c r="D40" s="1504" t="s">
        <v>1677</v>
      </c>
      <c r="E40" s="28" t="s">
        <v>17</v>
      </c>
      <c r="F40" s="29">
        <f>ROUND(87*(1-B75),2)</f>
        <v>87</v>
      </c>
      <c r="G40" s="29">
        <f>ROUND(93*(1-B75),2)</f>
        <v>93</v>
      </c>
      <c r="H40" s="29">
        <f>ROUND(102*(1-B75),2)</f>
        <v>102</v>
      </c>
      <c r="I40" s="29">
        <f>ROUND(113*(1-B75),2)</f>
        <v>113</v>
      </c>
      <c r="J40" s="29">
        <f>ROUND(130*(1-B75),2)</f>
        <v>130</v>
      </c>
      <c r="K40" s="29" t="s">
        <v>17</v>
      </c>
      <c r="L40" s="29">
        <f>ROUND(102*(1-B75),2)</f>
        <v>102</v>
      </c>
      <c r="M40" s="29">
        <f>ROUND(117*(1-B75),2)</f>
        <v>117</v>
      </c>
      <c r="N40" s="29">
        <f>ROUND(182*(1-B75),2)</f>
        <v>182</v>
      </c>
    </row>
    <row r="41" spans="1:22" s="1" customFormat="1" ht="38.25" customHeight="1" x14ac:dyDescent="0.25">
      <c r="A41" s="2014" t="s">
        <v>2949</v>
      </c>
      <c r="B41" s="1886" t="s">
        <v>2902</v>
      </c>
      <c r="C41" s="1886" t="s">
        <v>17</v>
      </c>
      <c r="D41" s="1886" t="s">
        <v>1677</v>
      </c>
      <c r="E41" s="28" t="s">
        <v>17</v>
      </c>
      <c r="F41" s="2211" t="s">
        <v>17</v>
      </c>
      <c r="G41" s="29">
        <f>ROUND(121*(1-B75),2)</f>
        <v>121</v>
      </c>
      <c r="H41" s="2211" t="s">
        <v>17</v>
      </c>
      <c r="I41" s="2211" t="s">
        <v>17</v>
      </c>
      <c r="J41" s="2211" t="s">
        <v>17</v>
      </c>
      <c r="K41" s="2211" t="s">
        <v>17</v>
      </c>
      <c r="L41" s="2211" t="s">
        <v>17</v>
      </c>
      <c r="M41" s="2211" t="s">
        <v>17</v>
      </c>
      <c r="N41" s="2211" t="s">
        <v>17</v>
      </c>
    </row>
    <row r="42" spans="1:22" s="1" customFormat="1" ht="38.25" customHeight="1" x14ac:dyDescent="0.25">
      <c r="A42" s="2014" t="s">
        <v>2950</v>
      </c>
      <c r="B42" s="1886" t="s">
        <v>2902</v>
      </c>
      <c r="C42" s="1886" t="s">
        <v>17</v>
      </c>
      <c r="D42" s="1886" t="s">
        <v>1677</v>
      </c>
      <c r="E42" s="28" t="s">
        <v>17</v>
      </c>
      <c r="F42" s="2211" t="s">
        <v>17</v>
      </c>
      <c r="G42" s="29">
        <f>ROUND(124*(1-B75),2)</f>
        <v>124</v>
      </c>
      <c r="H42" s="2211" t="s">
        <v>17</v>
      </c>
      <c r="I42" s="2211" t="s">
        <v>17</v>
      </c>
      <c r="J42" s="2211" t="s">
        <v>17</v>
      </c>
      <c r="K42" s="2211" t="s">
        <v>17</v>
      </c>
      <c r="L42" s="2211" t="s">
        <v>17</v>
      </c>
      <c r="M42" s="2211" t="s">
        <v>17</v>
      </c>
      <c r="N42" s="2211" t="s">
        <v>17</v>
      </c>
    </row>
    <row r="43" spans="1:22" s="1" customFormat="1" ht="32.25" customHeight="1" x14ac:dyDescent="0.25">
      <c r="A43" s="2449" t="s">
        <v>1760</v>
      </c>
      <c r="B43" s="2450"/>
      <c r="C43" s="2450"/>
      <c r="D43" s="2450"/>
      <c r="E43" s="2450"/>
      <c r="F43" s="2450"/>
      <c r="G43" s="2450"/>
      <c r="H43" s="2450"/>
      <c r="I43" s="2450"/>
      <c r="J43" s="2450"/>
      <c r="K43" s="2450"/>
      <c r="L43" s="2450"/>
      <c r="M43" s="2450"/>
      <c r="N43" s="2450"/>
      <c r="O43" s="7"/>
      <c r="P43" s="9"/>
    </row>
    <row r="44" spans="1:22" s="1" customFormat="1" ht="38.25" customHeight="1" x14ac:dyDescent="0.25">
      <c r="A44" s="2451" t="s">
        <v>3200</v>
      </c>
      <c r="B44" s="2451"/>
      <c r="C44" s="2451"/>
      <c r="D44" s="2451"/>
      <c r="E44" s="2451"/>
      <c r="F44" s="2447">
        <v>150</v>
      </c>
      <c r="G44" s="2447"/>
      <c r="H44" s="2447"/>
      <c r="I44" s="2447"/>
      <c r="J44" s="2447"/>
      <c r="K44" s="2447"/>
      <c r="L44" s="2447"/>
      <c r="M44" s="2447"/>
      <c r="N44" s="2448"/>
      <c r="O44" s="1521"/>
      <c r="P44" s="1520"/>
      <c r="Q44" s="1520"/>
      <c r="R44" s="1520"/>
      <c r="S44" s="1520"/>
      <c r="T44" s="1520"/>
      <c r="U44" s="1520"/>
      <c r="V44" s="1520"/>
    </row>
    <row r="45" spans="1:22" s="1" customFormat="1" ht="38.25" customHeight="1" x14ac:dyDescent="0.25">
      <c r="A45" s="2451" t="s">
        <v>1656</v>
      </c>
      <c r="B45" s="2451"/>
      <c r="C45" s="2451"/>
      <c r="D45" s="2451"/>
      <c r="E45" s="2451"/>
      <c r="F45" s="2447">
        <v>300</v>
      </c>
      <c r="G45" s="2447"/>
      <c r="H45" s="2447"/>
      <c r="I45" s="2447"/>
      <c r="J45" s="2447"/>
      <c r="K45" s="2447"/>
      <c r="L45" s="2447"/>
      <c r="M45" s="2447"/>
      <c r="N45" s="2448"/>
      <c r="O45" s="1521"/>
      <c r="P45" s="1520"/>
      <c r="Q45" s="1520"/>
      <c r="R45" s="1520"/>
      <c r="S45" s="1520"/>
      <c r="T45" s="1520"/>
      <c r="U45" s="1520"/>
      <c r="V45" s="1520"/>
    </row>
    <row r="46" spans="1:22" s="1" customFormat="1" ht="38.25" customHeight="1" x14ac:dyDescent="0.25">
      <c r="A46" s="2451" t="s">
        <v>1704</v>
      </c>
      <c r="B46" s="2451"/>
      <c r="C46" s="2451"/>
      <c r="D46" s="2451"/>
      <c r="E46" s="2451"/>
      <c r="F46" s="2447">
        <v>2200</v>
      </c>
      <c r="G46" s="2447"/>
      <c r="H46" s="2447"/>
      <c r="I46" s="2447"/>
      <c r="J46" s="2447"/>
      <c r="K46" s="2447"/>
      <c r="L46" s="2447"/>
      <c r="M46" s="2447"/>
      <c r="N46" s="2448"/>
      <c r="O46" s="1521"/>
      <c r="P46" s="1520"/>
      <c r="Q46" s="1520"/>
      <c r="R46" s="1520"/>
      <c r="S46" s="1520"/>
      <c r="T46" s="1520"/>
      <c r="U46" s="1520"/>
      <c r="V46" s="1520"/>
    </row>
    <row r="47" spans="1:22" s="1" customFormat="1" ht="38.25" customHeight="1" x14ac:dyDescent="0.25">
      <c r="A47" s="2451" t="s">
        <v>1705</v>
      </c>
      <c r="B47" s="2451"/>
      <c r="C47" s="2451"/>
      <c r="D47" s="2451"/>
      <c r="E47" s="2451"/>
      <c r="F47" s="2447">
        <v>400</v>
      </c>
      <c r="G47" s="2447"/>
      <c r="H47" s="2447"/>
      <c r="I47" s="2447"/>
      <c r="J47" s="2447"/>
      <c r="K47" s="2447"/>
      <c r="L47" s="2447"/>
      <c r="M47" s="2447"/>
      <c r="N47" s="2448"/>
      <c r="O47" s="1521"/>
      <c r="P47" s="1520"/>
      <c r="Q47" s="1520"/>
      <c r="R47" s="1520"/>
      <c r="S47" s="1520"/>
      <c r="T47" s="1520"/>
      <c r="U47" s="1520"/>
      <c r="V47" s="1520"/>
    </row>
    <row r="48" spans="1:22" s="1" customFormat="1" ht="38.25" customHeight="1" x14ac:dyDescent="0.25">
      <c r="A48" s="2451" t="s">
        <v>2116</v>
      </c>
      <c r="B48" s="2451"/>
      <c r="C48" s="2451"/>
      <c r="D48" s="2451"/>
      <c r="E48" s="2451"/>
      <c r="F48" s="2447">
        <v>1980</v>
      </c>
      <c r="G48" s="2447"/>
      <c r="H48" s="2447"/>
      <c r="I48" s="2447"/>
      <c r="J48" s="2447"/>
      <c r="K48" s="2447"/>
      <c r="L48" s="2447"/>
      <c r="M48" s="2447"/>
      <c r="N48" s="2448"/>
      <c r="O48" s="1521"/>
      <c r="P48" s="1520"/>
      <c r="Q48" s="1520"/>
      <c r="R48" s="1520"/>
      <c r="S48" s="1520"/>
      <c r="T48" s="1520"/>
      <c r="U48" s="1520"/>
      <c r="V48" s="1520"/>
    </row>
    <row r="49" spans="1:22" s="1" customFormat="1" ht="38.25" customHeight="1" x14ac:dyDescent="0.25">
      <c r="A49" s="2451" t="s">
        <v>1820</v>
      </c>
      <c r="B49" s="2451"/>
      <c r="C49" s="2451"/>
      <c r="D49" s="2451"/>
      <c r="E49" s="2451"/>
      <c r="F49" s="2447">
        <v>95</v>
      </c>
      <c r="G49" s="2447"/>
      <c r="H49" s="2447"/>
      <c r="I49" s="2447"/>
      <c r="J49" s="2447"/>
      <c r="K49" s="2447"/>
      <c r="L49" s="2447"/>
      <c r="M49" s="2447"/>
      <c r="N49" s="2448"/>
      <c r="O49" s="1521"/>
      <c r="P49" s="1520"/>
      <c r="Q49" s="1520"/>
      <c r="R49" s="1520"/>
      <c r="S49" s="1520"/>
      <c r="T49" s="1520"/>
      <c r="U49" s="1520"/>
      <c r="V49" s="1520"/>
    </row>
    <row r="50" spans="1:22" s="1" customFormat="1" ht="38.25" customHeight="1" x14ac:dyDescent="0.25">
      <c r="A50" s="2451" t="s">
        <v>1706</v>
      </c>
      <c r="B50" s="2451"/>
      <c r="C50" s="2451"/>
      <c r="D50" s="2451"/>
      <c r="E50" s="2451"/>
      <c r="F50" s="2447">
        <v>160</v>
      </c>
      <c r="G50" s="2447"/>
      <c r="H50" s="2447"/>
      <c r="I50" s="2447"/>
      <c r="J50" s="2447"/>
      <c r="K50" s="2447"/>
      <c r="L50" s="2447"/>
      <c r="M50" s="2447"/>
      <c r="N50" s="2448"/>
      <c r="O50" s="1521"/>
      <c r="P50" s="1520"/>
      <c r="Q50" s="1520"/>
      <c r="R50" s="1520"/>
      <c r="S50" s="1520"/>
      <c r="T50" s="1520"/>
      <c r="U50" s="1520"/>
      <c r="V50" s="1520"/>
    </row>
    <row r="51" spans="1:22" s="1" customFormat="1" ht="34.5" customHeight="1" x14ac:dyDescent="0.25">
      <c r="A51" s="2451" t="s">
        <v>41</v>
      </c>
      <c r="B51" s="2451"/>
      <c r="C51" s="2451"/>
      <c r="D51" s="2451"/>
      <c r="E51" s="2451"/>
      <c r="F51" s="2447">
        <v>15</v>
      </c>
      <c r="G51" s="2447"/>
      <c r="H51" s="2447"/>
      <c r="I51" s="2447"/>
      <c r="J51" s="2447"/>
      <c r="K51" s="2447"/>
      <c r="L51" s="2447"/>
      <c r="M51" s="2447"/>
      <c r="N51" s="2448"/>
      <c r="O51" s="9"/>
      <c r="P51" s="9"/>
    </row>
    <row r="52" spans="1:22" s="1" customFormat="1" ht="27" customHeight="1" x14ac:dyDescent="0.25">
      <c r="O52" s="9"/>
      <c r="P52" s="9"/>
    </row>
    <row r="53" spans="1:22" s="1" customFormat="1" ht="27" customHeight="1" x14ac:dyDescent="0.25">
      <c r="A53" s="2461" t="s">
        <v>42</v>
      </c>
      <c r="B53" s="2461"/>
      <c r="C53" s="2461"/>
      <c r="D53" s="2461"/>
      <c r="E53" s="2461"/>
      <c r="F53" s="2461"/>
      <c r="G53" s="11"/>
      <c r="H53" s="11"/>
      <c r="I53" s="2453" t="s">
        <v>2862</v>
      </c>
      <c r="J53" s="2454"/>
      <c r="K53" s="2454"/>
      <c r="L53" s="2454"/>
      <c r="M53" s="2454"/>
      <c r="N53" s="2455"/>
      <c r="O53" s="9"/>
      <c r="P53" s="9"/>
    </row>
    <row r="54" spans="1:22" s="1" customFormat="1" ht="26.25" x14ac:dyDescent="0.35">
      <c r="A54" s="1538" t="s">
        <v>2334</v>
      </c>
      <c r="B54" s="1538"/>
      <c r="C54" s="1538"/>
      <c r="D54" s="1538"/>
      <c r="E54" s="1538"/>
      <c r="F54" s="1538"/>
      <c r="G54" s="11"/>
      <c r="H54" s="11"/>
      <c r="I54" s="2456" t="s">
        <v>1635</v>
      </c>
      <c r="J54" s="2458"/>
      <c r="K54" s="2487" t="s">
        <v>44</v>
      </c>
      <c r="L54" s="2487"/>
      <c r="M54" s="2487"/>
      <c r="N54" s="2487"/>
      <c r="P54" s="13"/>
    </row>
    <row r="55" spans="1:22" s="1" customFormat="1" ht="26.25" x14ac:dyDescent="0.35">
      <c r="A55" s="33" t="s">
        <v>3390</v>
      </c>
      <c r="B55" s="1538"/>
      <c r="C55" s="1538"/>
      <c r="D55" s="1538"/>
      <c r="E55" s="1538"/>
      <c r="F55" s="1538"/>
      <c r="G55" s="12"/>
      <c r="H55" s="12"/>
      <c r="I55" s="2456" t="s">
        <v>1636</v>
      </c>
      <c r="J55" s="2458"/>
      <c r="K55" s="2487" t="s">
        <v>46</v>
      </c>
      <c r="L55" s="2487"/>
      <c r="M55" s="2487"/>
      <c r="N55" s="2487"/>
      <c r="P55" s="9"/>
    </row>
    <row r="56" spans="1:22" s="1" customFormat="1" ht="26.25" x14ac:dyDescent="0.25">
      <c r="A56" s="33" t="s">
        <v>3083</v>
      </c>
      <c r="G56" s="12"/>
      <c r="H56" s="12"/>
      <c r="I56" s="2456" t="s">
        <v>47</v>
      </c>
      <c r="J56" s="2458"/>
      <c r="K56" s="2487" t="s">
        <v>48</v>
      </c>
      <c r="L56" s="2487"/>
      <c r="M56" s="2487"/>
      <c r="N56" s="2487"/>
      <c r="O56" s="14"/>
      <c r="P56" s="14"/>
    </row>
    <row r="57" spans="1:22" s="1" customFormat="1" ht="26.25" x14ac:dyDescent="0.25">
      <c r="A57" s="33" t="s">
        <v>3424</v>
      </c>
      <c r="B57" s="32"/>
      <c r="C57" s="32"/>
      <c r="D57" s="32"/>
      <c r="E57" s="32"/>
      <c r="F57" s="32"/>
      <c r="G57" s="12"/>
      <c r="H57" s="12"/>
      <c r="I57" s="2480" t="s">
        <v>49</v>
      </c>
      <c r="J57" s="2481"/>
      <c r="K57" s="2487" t="s">
        <v>50</v>
      </c>
      <c r="L57" s="2487"/>
      <c r="M57" s="2487"/>
      <c r="N57" s="2487"/>
      <c r="O57" s="14"/>
      <c r="P57" s="14"/>
    </row>
    <row r="58" spans="1:22" s="1" customFormat="1" ht="27" x14ac:dyDescent="0.25">
      <c r="A58" s="1585" t="s">
        <v>2330</v>
      </c>
      <c r="B58" s="1530"/>
      <c r="C58" s="1530"/>
      <c r="D58" s="1530"/>
      <c r="E58" s="1530"/>
      <c r="F58" s="1530"/>
      <c r="G58" s="12"/>
      <c r="H58" s="12"/>
      <c r="I58" s="2482" t="s">
        <v>2331</v>
      </c>
      <c r="J58" s="2483"/>
      <c r="K58" s="2483"/>
      <c r="L58" s="2483"/>
      <c r="M58" s="2483"/>
      <c r="N58" s="2484"/>
      <c r="O58" s="14"/>
      <c r="P58" s="14"/>
    </row>
    <row r="59" spans="1:22" s="1" customFormat="1" ht="27" x14ac:dyDescent="0.25">
      <c r="A59" s="1585" t="s">
        <v>2352</v>
      </c>
      <c r="B59" s="1531"/>
      <c r="C59" s="1531"/>
      <c r="D59" s="1531"/>
      <c r="E59" s="1531"/>
      <c r="F59" s="1531"/>
      <c r="G59" s="12"/>
      <c r="H59" s="12"/>
      <c r="I59" s="2447" t="s">
        <v>2332</v>
      </c>
      <c r="J59" s="2447"/>
      <c r="K59" s="2447"/>
      <c r="L59" s="2447"/>
      <c r="M59" s="2447"/>
      <c r="N59" s="2447"/>
      <c r="O59" s="14"/>
      <c r="P59" s="14"/>
    </row>
    <row r="60" spans="1:22" s="1" customFormat="1" ht="27" x14ac:dyDescent="0.25">
      <c r="A60" s="32" t="s">
        <v>2333</v>
      </c>
      <c r="B60" s="1530"/>
      <c r="C60" s="1530"/>
      <c r="D60" s="1530"/>
      <c r="E60" s="1530"/>
      <c r="F60" s="1530"/>
      <c r="G60" s="12"/>
      <c r="H60" s="12"/>
      <c r="I60" s="1527" t="s">
        <v>63</v>
      </c>
      <c r="J60" s="1527"/>
      <c r="K60" s="1527"/>
      <c r="L60" s="1527"/>
      <c r="M60" s="1532"/>
      <c r="N60" s="1532"/>
    </row>
    <row r="61" spans="1:22" s="1" customFormat="1" ht="50.25" customHeight="1" x14ac:dyDescent="0.25">
      <c r="A61" s="1530" t="s">
        <v>1641</v>
      </c>
      <c r="B61" s="1530"/>
      <c r="C61" s="1530"/>
      <c r="D61" s="1530"/>
      <c r="E61" s="1530"/>
      <c r="F61" s="1530"/>
      <c r="G61" s="12"/>
      <c r="H61" s="12"/>
      <c r="I61" s="33" t="s">
        <v>51</v>
      </c>
      <c r="L61" s="33"/>
      <c r="M61" s="33"/>
      <c r="N61" s="33"/>
    </row>
    <row r="62" spans="1:22" s="1" customFormat="1" ht="54" x14ac:dyDescent="0.4">
      <c r="A62" s="1531" t="s">
        <v>95</v>
      </c>
      <c r="B62" s="1528"/>
      <c r="C62" s="1528"/>
      <c r="D62" s="1528"/>
      <c r="E62" s="1528"/>
      <c r="F62" s="1528"/>
      <c r="G62" s="12"/>
      <c r="H62" s="12"/>
      <c r="I62" s="2453" t="s">
        <v>1640</v>
      </c>
      <c r="J62" s="2454"/>
      <c r="K62" s="2454"/>
      <c r="L62" s="2455"/>
      <c r="M62" s="1503" t="s">
        <v>53</v>
      </c>
      <c r="N62" s="2054" t="s">
        <v>54</v>
      </c>
    </row>
    <row r="63" spans="1:22" s="1" customFormat="1" ht="27" customHeight="1" x14ac:dyDescent="0.25">
      <c r="A63" s="1585" t="s">
        <v>64</v>
      </c>
      <c r="B63" s="1522"/>
      <c r="C63" s="1522"/>
      <c r="D63" s="1522"/>
      <c r="E63" s="1522"/>
      <c r="F63" s="1522"/>
      <c r="G63" s="12"/>
      <c r="H63" s="12"/>
      <c r="I63" s="2456" t="s">
        <v>2250</v>
      </c>
      <c r="J63" s="2457"/>
      <c r="K63" s="2457"/>
      <c r="L63" s="2458"/>
      <c r="M63" s="1508" t="s">
        <v>60</v>
      </c>
      <c r="N63" s="1509" t="s">
        <v>61</v>
      </c>
    </row>
    <row r="64" spans="1:22" s="1" customFormat="1" ht="27" customHeight="1" x14ac:dyDescent="0.25">
      <c r="A64" s="1585" t="s">
        <v>65</v>
      </c>
      <c r="B64" s="1522"/>
      <c r="C64" s="1522"/>
      <c r="D64" s="1522"/>
      <c r="E64" s="1522"/>
      <c r="F64" s="1522"/>
      <c r="G64" s="12"/>
      <c r="H64" s="12"/>
      <c r="I64" s="2456" t="s">
        <v>55</v>
      </c>
      <c r="J64" s="2457"/>
      <c r="K64" s="2457"/>
      <c r="L64" s="2458"/>
      <c r="M64" s="1511">
        <v>0.7</v>
      </c>
      <c r="N64" s="2485" t="s">
        <v>56</v>
      </c>
    </row>
    <row r="65" spans="1:14" s="1" customFormat="1" ht="26.25" customHeight="1" x14ac:dyDescent="0.4">
      <c r="A65" s="1533" t="s">
        <v>1642</v>
      </c>
      <c r="B65" s="1527"/>
      <c r="C65" s="1527"/>
      <c r="D65" s="1527"/>
      <c r="E65" s="1527"/>
      <c r="F65" s="1527"/>
      <c r="G65" s="12"/>
      <c r="H65" s="12"/>
      <c r="I65" s="2456" t="s">
        <v>57</v>
      </c>
      <c r="J65" s="2457"/>
      <c r="K65" s="2457"/>
      <c r="L65" s="2458"/>
      <c r="M65" s="1511">
        <v>0.3</v>
      </c>
      <c r="N65" s="2485"/>
    </row>
    <row r="66" spans="1:14" s="1" customFormat="1" ht="26.25" customHeight="1" x14ac:dyDescent="0.25">
      <c r="A66" s="2336" t="s">
        <v>3414</v>
      </c>
      <c r="B66" s="1527"/>
      <c r="C66" s="1527"/>
      <c r="D66" s="1527"/>
      <c r="E66" s="1527"/>
      <c r="F66" s="1527"/>
      <c r="G66" s="12"/>
      <c r="H66" s="12"/>
      <c r="I66" s="2456" t="s">
        <v>58</v>
      </c>
      <c r="J66" s="2457"/>
      <c r="K66" s="2457"/>
      <c r="L66" s="2458"/>
      <c r="M66" s="1511">
        <v>0.15</v>
      </c>
      <c r="N66" s="2486"/>
    </row>
    <row r="67" spans="1:14" s="1" customFormat="1" ht="26.25" customHeight="1" x14ac:dyDescent="0.25">
      <c r="A67" s="1527" t="s">
        <v>2258</v>
      </c>
      <c r="G67" s="12"/>
      <c r="H67" s="12"/>
      <c r="I67" s="32" t="s">
        <v>2520</v>
      </c>
      <c r="J67" s="1536"/>
    </row>
    <row r="68" spans="1:14" s="1" customFormat="1" ht="26.25" x14ac:dyDescent="0.25">
      <c r="A68" s="1641" t="s">
        <v>2465</v>
      </c>
      <c r="G68" s="12"/>
      <c r="H68" s="12"/>
      <c r="I68" s="32" t="s">
        <v>1678</v>
      </c>
      <c r="J68" s="1536"/>
    </row>
    <row r="69" spans="1:14" s="1" customFormat="1" ht="26.25" x14ac:dyDescent="0.25">
      <c r="A69" s="1527" t="s">
        <v>62</v>
      </c>
      <c r="G69" s="12"/>
      <c r="H69" s="12"/>
      <c r="J69" s="1536"/>
    </row>
    <row r="70" spans="1:14" s="1" customFormat="1" ht="26.25" x14ac:dyDescent="0.25">
      <c r="B70" s="33"/>
      <c r="C70" s="12"/>
      <c r="D70" s="12"/>
      <c r="E70" s="12"/>
      <c r="F70" s="12"/>
      <c r="G70" s="12"/>
      <c r="H70" s="12"/>
      <c r="L70" s="12"/>
      <c r="M70" s="12"/>
      <c r="N70" s="18"/>
    </row>
    <row r="71" spans="1:14" s="1" customFormat="1" ht="26.25" x14ac:dyDescent="0.25">
      <c r="A71" s="1527" t="s">
        <v>2259</v>
      </c>
      <c r="B71" s="12"/>
      <c r="C71" s="12"/>
      <c r="D71" s="12"/>
      <c r="E71" s="12"/>
      <c r="F71" s="12"/>
      <c r="G71" s="12"/>
      <c r="H71" s="12"/>
      <c r="L71" s="18"/>
      <c r="M71" s="18"/>
      <c r="N71" s="18"/>
    </row>
    <row r="72" spans="1:14" s="1" customFormat="1" ht="26.25" x14ac:dyDescent="0.25">
      <c r="A72" s="1527" t="s">
        <v>52</v>
      </c>
      <c r="B72" s="12"/>
      <c r="C72" s="12"/>
      <c r="D72" s="12"/>
      <c r="E72" s="12"/>
      <c r="F72" s="12"/>
      <c r="G72" s="12"/>
      <c r="H72" s="12"/>
      <c r="L72" s="18"/>
      <c r="M72" s="12"/>
      <c r="N72" s="18"/>
    </row>
    <row r="73" spans="1:14" s="1" customFormat="1" ht="54" customHeight="1" x14ac:dyDescent="0.25">
      <c r="A73" s="1582"/>
      <c r="B73" s="12"/>
      <c r="C73" s="12"/>
      <c r="D73" s="12"/>
      <c r="E73" s="12"/>
      <c r="F73" s="12"/>
      <c r="G73" s="12"/>
      <c r="H73" s="12"/>
      <c r="L73" s="18"/>
      <c r="M73" s="12"/>
      <c r="N73" s="18"/>
    </row>
    <row r="74" spans="1:14" s="1" customFormat="1" ht="33" customHeight="1" x14ac:dyDescent="0.25">
      <c r="A74" s="2438" t="s">
        <v>66</v>
      </c>
      <c r="B74" s="2439" t="s">
        <v>1679</v>
      </c>
      <c r="C74" s="2440"/>
      <c r="D74" s="2440"/>
      <c r="E74" s="2440"/>
      <c r="F74" s="2441" t="s">
        <v>2219</v>
      </c>
      <c r="G74" s="2441"/>
      <c r="H74" s="2441"/>
      <c r="I74" s="2459" t="s">
        <v>2916</v>
      </c>
      <c r="J74" s="2459"/>
      <c r="L74" s="18"/>
      <c r="M74" s="12"/>
      <c r="N74" s="18"/>
    </row>
    <row r="75" spans="1:14" s="1" customFormat="1" ht="33" customHeight="1" x14ac:dyDescent="0.25">
      <c r="A75" s="2438"/>
      <c r="B75" s="2442">
        <v>0</v>
      </c>
      <c r="C75" s="2443"/>
      <c r="D75" s="2443"/>
      <c r="E75" s="2443"/>
      <c r="F75" s="2446">
        <v>0</v>
      </c>
      <c r="G75" s="2446"/>
      <c r="H75" s="2446"/>
      <c r="I75" s="2446">
        <v>0</v>
      </c>
      <c r="J75" s="2460"/>
      <c r="L75" s="17"/>
      <c r="M75" s="19"/>
      <c r="N75" s="19"/>
    </row>
    <row r="76" spans="1:14" s="1" customFormat="1" ht="20.25" x14ac:dyDescent="0.25">
      <c r="A76" s="2438"/>
      <c r="B76" s="2444"/>
      <c r="C76" s="2445"/>
      <c r="D76" s="2445"/>
      <c r="E76" s="2445"/>
      <c r="F76" s="2446"/>
      <c r="G76" s="2446"/>
      <c r="H76" s="2446"/>
      <c r="I76" s="2460"/>
      <c r="J76" s="2460"/>
      <c r="L76" s="17"/>
      <c r="M76" s="19"/>
      <c r="N76" s="19"/>
    </row>
    <row r="77" spans="1:14" s="1" customFormat="1" ht="25.5" x14ac:dyDescent="0.25">
      <c r="B77" s="12"/>
      <c r="C77" s="12"/>
      <c r="D77" s="12"/>
      <c r="E77" s="12"/>
      <c r="F77" s="12"/>
      <c r="G77" s="12"/>
      <c r="H77" s="12"/>
      <c r="L77" s="17"/>
      <c r="M77" s="19"/>
      <c r="N77" s="19"/>
    </row>
    <row r="78" spans="1:14" s="1" customFormat="1" ht="25.5" x14ac:dyDescent="0.25">
      <c r="B78" s="12"/>
      <c r="C78" s="12"/>
      <c r="D78" s="12"/>
      <c r="E78" s="12"/>
      <c r="F78" s="12"/>
      <c r="G78" s="12"/>
      <c r="H78" s="12"/>
      <c r="L78" s="17"/>
      <c r="M78" s="19"/>
      <c r="N78" s="19"/>
    </row>
    <row r="79" spans="1:14" s="1" customFormat="1" ht="20.25" x14ac:dyDescent="0.25"/>
    <row r="80" spans="1:14" s="1" customFormat="1" ht="47.25" customHeight="1" x14ac:dyDescent="0.25">
      <c r="H80" s="25"/>
      <c r="I80" s="25"/>
      <c r="J80" s="25"/>
      <c r="K80" s="25"/>
    </row>
    <row r="81" spans="7:14" s="1" customFormat="1" ht="27" x14ac:dyDescent="0.25">
      <c r="G81" s="911"/>
      <c r="H81" s="911"/>
      <c r="I81" s="911"/>
      <c r="J81" s="911"/>
      <c r="K81" s="911"/>
    </row>
    <row r="82" spans="7:14" s="1" customFormat="1" ht="33" customHeight="1" x14ac:dyDescent="0.25">
      <c r="G82" s="2452"/>
      <c r="H82" s="2452"/>
      <c r="I82" s="2452"/>
      <c r="J82" s="2452"/>
      <c r="K82" s="1513"/>
    </row>
    <row r="83" spans="7:14" s="1" customFormat="1" ht="20.25" x14ac:dyDescent="0.25">
      <c r="G83" s="2452"/>
      <c r="H83" s="2452"/>
      <c r="I83" s="2452"/>
      <c r="J83" s="2452"/>
      <c r="K83" s="1513"/>
    </row>
    <row r="84" spans="7:14" s="1" customFormat="1" ht="20.25" x14ac:dyDescent="0.25"/>
    <row r="85" spans="7:14" s="1" customFormat="1" ht="20.25" x14ac:dyDescent="0.25"/>
    <row r="86" spans="7:14" s="1" customFormat="1" ht="16.5" customHeight="1" x14ac:dyDescent="0.25"/>
    <row r="87" spans="7:14" s="1" customFormat="1" ht="20.25" x14ac:dyDescent="0.25">
      <c r="M87" s="17"/>
      <c r="N87" s="17"/>
    </row>
    <row r="88" spans="7:14" s="1" customFormat="1" ht="20.25" customHeight="1" x14ac:dyDescent="0.25">
      <c r="M88" s="17"/>
      <c r="N88" s="17"/>
    </row>
    <row r="89" spans="7:14" s="1" customFormat="1" ht="20.25" customHeight="1" x14ac:dyDescent="0.25">
      <c r="M89" s="17"/>
      <c r="N89" s="17"/>
    </row>
    <row r="90" spans="7:14" s="1" customFormat="1" ht="32.25" customHeight="1" x14ac:dyDescent="0.25">
      <c r="M90" s="17"/>
      <c r="N90" s="17"/>
    </row>
    <row r="91" spans="7:14" s="1" customFormat="1" ht="20.25" x14ac:dyDescent="0.25">
      <c r="M91" s="17"/>
      <c r="N91" s="17"/>
    </row>
    <row r="92" spans="7:14" s="1" customFormat="1" ht="20.25" x14ac:dyDescent="0.25"/>
    <row r="93" spans="7:14" s="1" customFormat="1" ht="20.25" x14ac:dyDescent="0.25"/>
    <row r="94" spans="7:14" s="1" customFormat="1" ht="20.25" x14ac:dyDescent="0.25"/>
    <row r="95" spans="7:14" s="1" customFormat="1" ht="20.25" x14ac:dyDescent="0.25"/>
    <row r="96" spans="7:14" s="1" customFormat="1" ht="20.25" x14ac:dyDescent="0.25"/>
    <row r="97" s="1" customFormat="1" ht="20.25" x14ac:dyDescent="0.25"/>
    <row r="98" s="1" customFormat="1" ht="20.25" x14ac:dyDescent="0.25"/>
    <row r="99" s="1" customFormat="1" ht="20.25" x14ac:dyDescent="0.25"/>
    <row r="100" s="1" customFormat="1" ht="20.25" x14ac:dyDescent="0.25"/>
    <row r="101" s="1" customFormat="1" ht="20.25" x14ac:dyDescent="0.25"/>
    <row r="102" s="1" customFormat="1" ht="20.25" x14ac:dyDescent="0.25"/>
    <row r="103" s="1" customFormat="1" ht="20.25" x14ac:dyDescent="0.25"/>
    <row r="104" s="1" customFormat="1" ht="20.25" x14ac:dyDescent="0.25"/>
    <row r="105" s="1" customFormat="1" ht="20.25" x14ac:dyDescent="0.25"/>
    <row r="106" s="1" customFormat="1" ht="20.25" x14ac:dyDescent="0.25"/>
    <row r="107" s="1" customFormat="1" ht="20.25" x14ac:dyDescent="0.25"/>
    <row r="108" s="1" customFormat="1" ht="20.25" x14ac:dyDescent="0.25"/>
    <row r="109" s="1" customFormat="1" ht="20.25" x14ac:dyDescent="0.25"/>
    <row r="110" s="1" customFormat="1" ht="20.25" x14ac:dyDescent="0.25"/>
    <row r="111" s="1" customFormat="1" ht="20.25" x14ac:dyDescent="0.25"/>
    <row r="112" s="1" customFormat="1" ht="20.25" x14ac:dyDescent="0.25"/>
    <row r="113" s="1" customFormat="1" ht="20.25" x14ac:dyDescent="0.25"/>
    <row r="114" s="1" customFormat="1" ht="20.25" x14ac:dyDescent="0.25"/>
    <row r="115" s="1" customFormat="1" ht="20.25" x14ac:dyDescent="0.25"/>
    <row r="116" s="1" customFormat="1" ht="20.25" x14ac:dyDescent="0.25"/>
    <row r="117" s="1" customFormat="1" ht="20.25" x14ac:dyDescent="0.25"/>
    <row r="118" s="1" customFormat="1" ht="20.25" x14ac:dyDescent="0.25"/>
    <row r="119" s="1" customFormat="1" ht="20.25" x14ac:dyDescent="0.25"/>
    <row r="120" s="1" customFormat="1" ht="20.25" x14ac:dyDescent="0.25"/>
    <row r="121" s="1" customFormat="1" ht="20.25" x14ac:dyDescent="0.25"/>
    <row r="122" s="1" customFormat="1" ht="20.25" x14ac:dyDescent="0.25"/>
    <row r="123" s="1" customFormat="1" ht="20.25" x14ac:dyDescent="0.25"/>
    <row r="124" s="1" customFormat="1" ht="20.25" x14ac:dyDescent="0.25"/>
    <row r="125" s="1" customFormat="1" ht="20.25" x14ac:dyDescent="0.25"/>
    <row r="126" s="1" customFormat="1" ht="20.25" x14ac:dyDescent="0.25"/>
    <row r="127" s="1" customFormat="1" ht="20.25" x14ac:dyDescent="0.25"/>
    <row r="128" s="1" customFormat="1" ht="20.25" x14ac:dyDescent="0.25"/>
    <row r="129" s="1" customFormat="1" ht="20.25" x14ac:dyDescent="0.25"/>
    <row r="130" s="1" customFormat="1" ht="20.25" x14ac:dyDescent="0.25"/>
    <row r="131" s="1" customFormat="1" ht="20.25" x14ac:dyDescent="0.25"/>
    <row r="132" s="1" customFormat="1" ht="20.25" x14ac:dyDescent="0.25"/>
    <row r="133" s="1" customFormat="1" ht="20.25" x14ac:dyDescent="0.25"/>
    <row r="134" s="1" customFormat="1" ht="20.25" x14ac:dyDescent="0.25"/>
    <row r="135" s="1" customFormat="1" ht="20.25" x14ac:dyDescent="0.25"/>
    <row r="136" s="1" customFormat="1" ht="20.25" x14ac:dyDescent="0.25"/>
    <row r="137" s="1" customFormat="1" ht="20.25" x14ac:dyDescent="0.25"/>
    <row r="138" s="1" customFormat="1" ht="20.25" x14ac:dyDescent="0.25"/>
    <row r="139" s="1" customFormat="1" ht="20.25" x14ac:dyDescent="0.25"/>
    <row r="140" s="1" customFormat="1" ht="20.25" x14ac:dyDescent="0.25"/>
    <row r="141" s="1" customFormat="1" ht="20.25" x14ac:dyDescent="0.25"/>
    <row r="142" s="1" customFormat="1" ht="20.25" x14ac:dyDescent="0.25"/>
    <row r="143" s="1" customFormat="1" ht="20.25" x14ac:dyDescent="0.25"/>
    <row r="144" s="1" customFormat="1" ht="20.25" x14ac:dyDescent="0.25"/>
    <row r="145" s="1" customFormat="1" ht="20.25" x14ac:dyDescent="0.25"/>
    <row r="146" s="1" customFormat="1" ht="20.25" x14ac:dyDescent="0.25"/>
    <row r="147" s="1" customFormat="1" ht="20.25" x14ac:dyDescent="0.25"/>
    <row r="148" s="1" customFormat="1" ht="20.25" x14ac:dyDescent="0.25"/>
    <row r="149" s="1" customFormat="1" ht="20.25" x14ac:dyDescent="0.25"/>
    <row r="150" s="1" customFormat="1" ht="20.25" x14ac:dyDescent="0.25"/>
    <row r="151" s="1" customFormat="1" ht="20.25" x14ac:dyDescent="0.25"/>
    <row r="152" s="1" customFormat="1" ht="20.25" x14ac:dyDescent="0.25"/>
    <row r="153" s="1" customFormat="1" ht="20.25" x14ac:dyDescent="0.25"/>
    <row r="154" s="1" customFormat="1" ht="20.25" x14ac:dyDescent="0.25"/>
    <row r="155" s="1" customFormat="1" ht="20.25" x14ac:dyDescent="0.25"/>
    <row r="156" s="1" customFormat="1" ht="20.25" x14ac:dyDescent="0.25"/>
    <row r="157" s="1" customFormat="1" ht="20.25" x14ac:dyDescent="0.25"/>
    <row r="158" s="1" customFormat="1" ht="20.25" x14ac:dyDescent="0.25"/>
    <row r="159" s="1" customFormat="1" ht="20.25" x14ac:dyDescent="0.25"/>
    <row r="160" s="1" customFormat="1" ht="20.25" x14ac:dyDescent="0.25"/>
    <row r="161" s="1" customFormat="1" ht="20.25" x14ac:dyDescent="0.25"/>
    <row r="162" s="1" customFormat="1" ht="20.25" x14ac:dyDescent="0.25"/>
    <row r="163" s="1" customFormat="1" ht="20.25" x14ac:dyDescent="0.25"/>
    <row r="164" s="1" customFormat="1" ht="20.25" x14ac:dyDescent="0.25"/>
    <row r="165" s="1" customFormat="1" ht="20.25" x14ac:dyDescent="0.25"/>
    <row r="166" s="1" customFormat="1" ht="20.25" x14ac:dyDescent="0.25"/>
    <row r="167" s="1" customFormat="1" ht="20.25" x14ac:dyDescent="0.25"/>
    <row r="168" s="1" customFormat="1" ht="20.25" x14ac:dyDescent="0.25"/>
    <row r="169" s="1" customFormat="1" ht="20.25" x14ac:dyDescent="0.25"/>
    <row r="170" s="1" customFormat="1" ht="20.25" x14ac:dyDescent="0.25"/>
    <row r="171" s="1" customFormat="1" ht="20.25" x14ac:dyDescent="0.25"/>
    <row r="172" s="1" customFormat="1" ht="20.25" x14ac:dyDescent="0.25"/>
    <row r="173" s="1" customFormat="1" ht="20.25" x14ac:dyDescent="0.25"/>
    <row r="174" s="1" customFormat="1" ht="20.25" x14ac:dyDescent="0.25"/>
    <row r="175" s="1" customFormat="1" ht="20.25" x14ac:dyDescent="0.25"/>
    <row r="176" s="1" customFormat="1" ht="20.25" x14ac:dyDescent="0.25"/>
    <row r="177" s="1" customFormat="1" ht="20.25" x14ac:dyDescent="0.25"/>
    <row r="178" s="1" customFormat="1" ht="20.25" x14ac:dyDescent="0.25"/>
    <row r="179" s="1" customFormat="1" ht="20.25" x14ac:dyDescent="0.25"/>
    <row r="180" s="1" customFormat="1" ht="20.25" x14ac:dyDescent="0.25"/>
    <row r="181" s="1" customFormat="1" ht="20.25" x14ac:dyDescent="0.25"/>
    <row r="182" s="1" customFormat="1" ht="20.25" x14ac:dyDescent="0.25"/>
    <row r="183" s="1" customFormat="1" ht="20.25" x14ac:dyDescent="0.25"/>
    <row r="184" s="1" customFormat="1" ht="20.25" x14ac:dyDescent="0.25"/>
    <row r="185" s="1" customFormat="1" ht="20.25" x14ac:dyDescent="0.25"/>
    <row r="186" s="1" customFormat="1" ht="20.25" x14ac:dyDescent="0.25"/>
    <row r="187" s="1" customFormat="1" ht="20.25" x14ac:dyDescent="0.25"/>
    <row r="188" s="1" customFormat="1" ht="20.25" x14ac:dyDescent="0.25"/>
    <row r="189" s="1" customFormat="1" ht="20.25" x14ac:dyDescent="0.25"/>
    <row r="190" s="1" customFormat="1" ht="20.25" x14ac:dyDescent="0.25"/>
    <row r="191" s="1" customFormat="1" ht="20.25" x14ac:dyDescent="0.25"/>
    <row r="192" s="1" customFormat="1" ht="20.25" x14ac:dyDescent="0.25"/>
    <row r="193" spans="1:14" s="20" customFormat="1" ht="20.25" x14ac:dyDescent="0.2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</row>
    <row r="194" spans="1:14" s="20" customFormat="1" x14ac:dyDescent="0.25"/>
    <row r="195" spans="1:14" s="20" customFormat="1" x14ac:dyDescent="0.25"/>
    <row r="196" spans="1:14" s="20" customFormat="1" x14ac:dyDescent="0.25"/>
    <row r="197" spans="1:14" s="20" customFormat="1" x14ac:dyDescent="0.25"/>
    <row r="198" spans="1:14" s="20" customFormat="1" x14ac:dyDescent="0.25"/>
    <row r="199" spans="1:14" s="20" customFormat="1" x14ac:dyDescent="0.25"/>
    <row r="200" spans="1:14" s="20" customFormat="1" x14ac:dyDescent="0.25"/>
    <row r="201" spans="1:14" s="20" customFormat="1" x14ac:dyDescent="0.25"/>
    <row r="202" spans="1:14" s="20" customFormat="1" x14ac:dyDescent="0.25"/>
    <row r="203" spans="1:14" s="20" customFormat="1" x14ac:dyDescent="0.25"/>
    <row r="204" spans="1:14" s="20" customFormat="1" x14ac:dyDescent="0.25"/>
    <row r="205" spans="1:14" s="20" customFormat="1" x14ac:dyDescent="0.25"/>
    <row r="206" spans="1:14" s="20" customFormat="1" x14ac:dyDescent="0.25"/>
    <row r="207" spans="1:14" s="20" customFormat="1" x14ac:dyDescent="0.25"/>
    <row r="208" spans="1:14" s="20" customFormat="1" x14ac:dyDescent="0.25"/>
    <row r="209" s="20" customFormat="1" x14ac:dyDescent="0.25"/>
    <row r="210" s="20" customFormat="1" x14ac:dyDescent="0.25"/>
    <row r="211" s="20" customFormat="1" x14ac:dyDescent="0.25"/>
    <row r="212" s="20" customFormat="1" x14ac:dyDescent="0.25"/>
    <row r="213" s="20" customFormat="1" x14ac:dyDescent="0.25"/>
    <row r="214" s="20" customFormat="1" x14ac:dyDescent="0.25"/>
    <row r="215" s="20" customFormat="1" x14ac:dyDescent="0.25"/>
    <row r="216" s="20" customFormat="1" x14ac:dyDescent="0.25"/>
    <row r="217" s="20" customFormat="1" x14ac:dyDescent="0.25"/>
    <row r="218" s="20" customFormat="1" x14ac:dyDescent="0.25"/>
    <row r="219" s="20" customFormat="1" x14ac:dyDescent="0.25"/>
    <row r="220" s="20" customFormat="1" x14ac:dyDescent="0.25"/>
    <row r="221" s="20" customFormat="1" x14ac:dyDescent="0.25"/>
    <row r="222" s="20" customFormat="1" x14ac:dyDescent="0.25"/>
    <row r="223" s="20" customFormat="1" x14ac:dyDescent="0.25"/>
    <row r="224" s="20" customFormat="1" x14ac:dyDescent="0.25"/>
    <row r="225" spans="1:14" s="20" customFormat="1" x14ac:dyDescent="0.25"/>
    <row r="226" spans="1:14" s="20" customFormat="1" x14ac:dyDescent="0.25"/>
    <row r="227" spans="1:14" s="20" customFormat="1" x14ac:dyDescent="0.25"/>
    <row r="228" spans="1:14" s="20" customFormat="1" x14ac:dyDescent="0.25"/>
    <row r="229" spans="1:14" s="20" customFormat="1" x14ac:dyDescent="0.25"/>
    <row r="230" spans="1:14" s="20" customFormat="1" x14ac:dyDescent="0.25"/>
    <row r="231" spans="1:14" s="20" customFormat="1" x14ac:dyDescent="0.25"/>
    <row r="232" spans="1:14" s="20" customFormat="1" x14ac:dyDescent="0.25"/>
    <row r="233" spans="1:14" s="20" customFormat="1" x14ac:dyDescent="0.25"/>
    <row r="234" spans="1:14" s="20" customFormat="1" x14ac:dyDescent="0.25"/>
    <row r="235" spans="1:14" s="20" customFormat="1" x14ac:dyDescent="0.25"/>
    <row r="236" spans="1:14" s="20" customFormat="1" x14ac:dyDescent="0.25"/>
    <row r="237" spans="1:14" s="20" customFormat="1" x14ac:dyDescent="0.25"/>
    <row r="238" spans="1:14" s="20" customFormat="1" x14ac:dyDescent="0.25"/>
    <row r="239" spans="1:14" s="20" customFormat="1" x14ac:dyDescent="0.25"/>
    <row r="240" spans="1:14" x14ac:dyDescent="0.2">
      <c r="A240" s="20"/>
      <c r="B240" s="20"/>
      <c r="C240" s="20"/>
      <c r="D240" s="20"/>
      <c r="E240" s="20"/>
      <c r="F240" s="20"/>
      <c r="G240" s="20"/>
      <c r="H240" s="20"/>
      <c r="I240" s="20"/>
      <c r="J240" s="20"/>
      <c r="K240" s="20"/>
      <c r="L240" s="20"/>
      <c r="M240" s="20"/>
      <c r="N240" s="20"/>
    </row>
  </sheetData>
  <sheetProtection formatCells="0" formatColumns="0" formatRows="0" insertColumns="0" insertRows="0" insertHyperlinks="0" deleteColumns="0" deleteRows="0" sort="0" autoFilter="0" pivotTables="0"/>
  <mergeCells count="63">
    <mergeCell ref="I54:J54"/>
    <mergeCell ref="I55:J55"/>
    <mergeCell ref="I56:J56"/>
    <mergeCell ref="I64:L64"/>
    <mergeCell ref="I65:L65"/>
    <mergeCell ref="I57:J57"/>
    <mergeCell ref="I58:N58"/>
    <mergeCell ref="N64:N66"/>
    <mergeCell ref="I59:N59"/>
    <mergeCell ref="K54:N54"/>
    <mergeCell ref="K55:N55"/>
    <mergeCell ref="K56:N56"/>
    <mergeCell ref="K57:N57"/>
    <mergeCell ref="A12:E12"/>
    <mergeCell ref="A13:E13"/>
    <mergeCell ref="A14:N14"/>
    <mergeCell ref="A23:N23"/>
    <mergeCell ref="A45:E45"/>
    <mergeCell ref="F45:N45"/>
    <mergeCell ref="F15:J15"/>
    <mergeCell ref="L15:N15"/>
    <mergeCell ref="A38:N38"/>
    <mergeCell ref="A43:N43"/>
    <mergeCell ref="A1:N6"/>
    <mergeCell ref="A7:N7"/>
    <mergeCell ref="A9:A11"/>
    <mergeCell ref="B9:C10"/>
    <mergeCell ref="D9:D11"/>
    <mergeCell ref="E9:E11"/>
    <mergeCell ref="L10:N10"/>
    <mergeCell ref="F9:N9"/>
    <mergeCell ref="F10:K10"/>
    <mergeCell ref="A48:E48"/>
    <mergeCell ref="A49:E49"/>
    <mergeCell ref="A50:E50"/>
    <mergeCell ref="A51:E51"/>
    <mergeCell ref="A53:F53"/>
    <mergeCell ref="F51:N51"/>
    <mergeCell ref="F49:N49"/>
    <mergeCell ref="F50:N50"/>
    <mergeCell ref="F48:N48"/>
    <mergeCell ref="I53:N53"/>
    <mergeCell ref="G82:G83"/>
    <mergeCell ref="H82:H83"/>
    <mergeCell ref="I82:I83"/>
    <mergeCell ref="J82:J83"/>
    <mergeCell ref="I62:L62"/>
    <mergeCell ref="I63:L63"/>
    <mergeCell ref="I66:L66"/>
    <mergeCell ref="I74:J74"/>
    <mergeCell ref="I75:J76"/>
    <mergeCell ref="F47:N47"/>
    <mergeCell ref="A33:N33"/>
    <mergeCell ref="A46:E46"/>
    <mergeCell ref="F46:N46"/>
    <mergeCell ref="A47:E47"/>
    <mergeCell ref="A44:E44"/>
    <mergeCell ref="F44:N44"/>
    <mergeCell ref="A74:A76"/>
    <mergeCell ref="B74:E74"/>
    <mergeCell ref="F74:H74"/>
    <mergeCell ref="B75:E76"/>
    <mergeCell ref="F75:H76"/>
  </mergeCells>
  <printOptions horizontalCentered="1"/>
  <pageMargins left="0" right="0" top="0" bottom="0" header="0" footer="0"/>
  <pageSetup paperSize="9" scale="23" orientation="landscape" useFirstPageNumber="1" r:id="rId1"/>
  <headerFooter alignWithMargins="0">
    <oddFooter>&amp;R&amp;26Стр. &amp;P из  &amp;N
&amp;A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Y276"/>
  <sheetViews>
    <sheetView topLeftCell="A31" zoomScale="40" zoomScaleNormal="40" zoomScaleSheetLayoutView="40" workbookViewId="0">
      <selection activeCell="A98" sqref="A98"/>
    </sheetView>
  </sheetViews>
  <sheetFormatPr defaultRowHeight="12.75" x14ac:dyDescent="0.2"/>
  <cols>
    <col min="1" max="1" width="106.85546875" style="76" customWidth="1"/>
    <col min="2" max="2" width="20" style="76" customWidth="1"/>
    <col min="3" max="3" width="19.140625" style="76" customWidth="1"/>
    <col min="4" max="4" width="35.85546875" style="76" customWidth="1"/>
    <col min="5" max="5" width="20.28515625" style="76" customWidth="1"/>
    <col min="6" max="6" width="30.5703125" style="76" customWidth="1"/>
    <col min="7" max="7" width="30.7109375" style="76" customWidth="1"/>
    <col min="8" max="8" width="20.28515625" style="76" customWidth="1"/>
    <col min="9" max="9" width="21" style="76" customWidth="1"/>
    <col min="10" max="10" width="20.28515625" style="76" customWidth="1"/>
    <col min="11" max="11" width="21.28515625" style="76" customWidth="1"/>
    <col min="12" max="12" width="20.85546875" style="76" customWidth="1"/>
    <col min="13" max="13" width="22" style="76" customWidth="1"/>
    <col min="14" max="14" width="20.7109375" style="76" customWidth="1"/>
    <col min="15" max="15" width="21.28515625" style="76" customWidth="1"/>
    <col min="16" max="16" width="20.7109375" style="76" customWidth="1"/>
    <col min="17" max="17" width="20.42578125" style="76" customWidth="1"/>
    <col min="18" max="18" width="18.85546875" style="76" customWidth="1"/>
    <col min="19" max="19" width="18.5703125" style="76" customWidth="1"/>
    <col min="20" max="20" width="19.42578125" style="76" customWidth="1"/>
    <col min="21" max="21" width="23.140625" style="76" customWidth="1"/>
    <col min="22" max="22" width="22.140625" style="76" customWidth="1"/>
    <col min="23" max="23" width="20.42578125" style="76" customWidth="1"/>
    <col min="24" max="24" width="20.28515625" style="76" customWidth="1"/>
    <col min="25" max="25" width="19.5703125" style="76" customWidth="1"/>
    <col min="26" max="148" width="9.140625" style="76"/>
    <col min="149" max="149" width="65.7109375" style="76" customWidth="1"/>
    <col min="150" max="150" width="15.5703125" style="76" customWidth="1"/>
    <col min="151" max="151" width="12.85546875" style="76" customWidth="1"/>
    <col min="152" max="152" width="14.85546875" style="76" customWidth="1"/>
    <col min="153" max="154" width="18.42578125" style="76" customWidth="1"/>
    <col min="155" max="155" width="18.5703125" style="76" customWidth="1"/>
    <col min="156" max="156" width="18.85546875" style="76" customWidth="1"/>
    <col min="157" max="161" width="17.140625" style="76" customWidth="1"/>
    <col min="162" max="162" width="18.140625" style="76" customWidth="1"/>
    <col min="163" max="163" width="19.28515625" style="76" customWidth="1"/>
    <col min="164" max="165" width="15.42578125" style="76" customWidth="1"/>
    <col min="166" max="166" width="13" style="76" customWidth="1"/>
    <col min="167" max="167" width="13.28515625" style="76" customWidth="1"/>
    <col min="168" max="168" width="14.140625" style="76" customWidth="1"/>
    <col min="169" max="169" width="15.140625" style="76" customWidth="1"/>
    <col min="170" max="171" width="14.140625" style="76" customWidth="1"/>
    <col min="172" max="172" width="10.5703125" style="76" customWidth="1"/>
    <col min="173" max="173" width="9.140625" style="76"/>
    <col min="174" max="174" width="8.140625" style="76" customWidth="1"/>
    <col min="175" max="175" width="10.140625" style="76" customWidth="1"/>
    <col min="176" max="176" width="10.42578125" style="76" customWidth="1"/>
    <col min="177" max="177" width="9.140625" style="76"/>
    <col min="178" max="178" width="13.140625" style="76" customWidth="1"/>
    <col min="179" max="179" width="9.140625" style="76"/>
    <col min="180" max="180" width="8.28515625" style="76" customWidth="1"/>
    <col min="181" max="16384" width="9.140625" style="76"/>
  </cols>
  <sheetData>
    <row r="1" spans="1:25" s="9" customFormat="1" ht="20.25" x14ac:dyDescent="0.25">
      <c r="A1" s="2462"/>
      <c r="B1" s="2462"/>
      <c r="C1" s="2462"/>
      <c r="D1" s="2462"/>
      <c r="E1" s="2462"/>
      <c r="F1" s="2462"/>
      <c r="G1" s="2462"/>
      <c r="H1" s="2462"/>
      <c r="I1" s="2462"/>
      <c r="J1" s="2462"/>
      <c r="K1" s="2462"/>
      <c r="L1" s="2462"/>
      <c r="M1" s="2462"/>
      <c r="N1" s="2462"/>
      <c r="O1" s="2462"/>
      <c r="P1" s="2462"/>
      <c r="Q1" s="2462"/>
      <c r="R1" s="2462"/>
      <c r="S1" s="2462"/>
      <c r="T1" s="2462"/>
      <c r="U1" s="2462"/>
      <c r="V1" s="2462"/>
      <c r="W1" s="2462"/>
      <c r="X1" s="2462"/>
      <c r="Y1" s="2462"/>
    </row>
    <row r="2" spans="1:25" s="9" customFormat="1" ht="41.25" customHeight="1" x14ac:dyDescent="0.25">
      <c r="A2" s="2462"/>
      <c r="B2" s="2462"/>
      <c r="C2" s="2462"/>
      <c r="D2" s="2462"/>
      <c r="E2" s="2462"/>
      <c r="F2" s="2462"/>
      <c r="G2" s="2462"/>
      <c r="H2" s="2462"/>
      <c r="I2" s="2462"/>
      <c r="J2" s="2462"/>
      <c r="K2" s="2462"/>
      <c r="L2" s="2462"/>
      <c r="M2" s="2462"/>
      <c r="N2" s="2462"/>
      <c r="O2" s="2462"/>
      <c r="P2" s="2462"/>
      <c r="Q2" s="2462"/>
      <c r="R2" s="2462"/>
      <c r="S2" s="2462"/>
      <c r="T2" s="2462"/>
      <c r="U2" s="2462"/>
      <c r="V2" s="2462"/>
      <c r="W2" s="2462"/>
      <c r="X2" s="2462"/>
      <c r="Y2" s="2462"/>
    </row>
    <row r="3" spans="1:25" s="9" customFormat="1" ht="27.75" customHeight="1" x14ac:dyDescent="0.25">
      <c r="A3" s="2462"/>
      <c r="B3" s="2462"/>
      <c r="C3" s="2462"/>
      <c r="D3" s="2462"/>
      <c r="E3" s="2462"/>
      <c r="F3" s="2462"/>
      <c r="G3" s="2462"/>
      <c r="H3" s="2462"/>
      <c r="I3" s="2462"/>
      <c r="J3" s="2462"/>
      <c r="K3" s="2462"/>
      <c r="L3" s="2462"/>
      <c r="M3" s="2462"/>
      <c r="N3" s="2462"/>
      <c r="O3" s="2462"/>
      <c r="P3" s="2462"/>
      <c r="Q3" s="2462"/>
      <c r="R3" s="2462"/>
      <c r="S3" s="2462"/>
      <c r="T3" s="2462"/>
      <c r="U3" s="2462"/>
      <c r="V3" s="2462"/>
      <c r="W3" s="2462"/>
      <c r="X3" s="2462"/>
      <c r="Y3" s="2462"/>
    </row>
    <row r="4" spans="1:25" s="9" customFormat="1" ht="27.75" customHeight="1" x14ac:dyDescent="0.25">
      <c r="A4" s="2462"/>
      <c r="B4" s="2462"/>
      <c r="C4" s="2462"/>
      <c r="D4" s="2462"/>
      <c r="E4" s="2462"/>
      <c r="F4" s="2462"/>
      <c r="G4" s="2462"/>
      <c r="H4" s="2462"/>
      <c r="I4" s="2462"/>
      <c r="J4" s="2462"/>
      <c r="K4" s="2462"/>
      <c r="L4" s="2462"/>
      <c r="M4" s="2462"/>
      <c r="N4" s="2462"/>
      <c r="O4" s="2462"/>
      <c r="P4" s="2462"/>
      <c r="Q4" s="2462"/>
      <c r="R4" s="2462"/>
      <c r="S4" s="2462"/>
      <c r="T4" s="2462"/>
      <c r="U4" s="2462"/>
      <c r="V4" s="2462"/>
      <c r="W4" s="2462"/>
      <c r="X4" s="2462"/>
      <c r="Y4" s="2462"/>
    </row>
    <row r="5" spans="1:25" s="9" customFormat="1" ht="27.75" customHeight="1" x14ac:dyDescent="0.25">
      <c r="A5" s="2462"/>
      <c r="B5" s="2462"/>
      <c r="C5" s="2462"/>
      <c r="D5" s="2462"/>
      <c r="E5" s="2462"/>
      <c r="F5" s="2462"/>
      <c r="G5" s="2462"/>
      <c r="H5" s="2462"/>
      <c r="I5" s="2462"/>
      <c r="J5" s="2462"/>
      <c r="K5" s="2462"/>
      <c r="L5" s="2462"/>
      <c r="M5" s="2462"/>
      <c r="N5" s="2462"/>
      <c r="O5" s="2462"/>
      <c r="P5" s="2462"/>
      <c r="Q5" s="2462"/>
      <c r="R5" s="2462"/>
      <c r="S5" s="2462"/>
      <c r="T5" s="2462"/>
      <c r="U5" s="2462"/>
      <c r="V5" s="2462"/>
      <c r="W5" s="2462"/>
      <c r="X5" s="2462"/>
      <c r="Y5" s="2462"/>
    </row>
    <row r="6" spans="1:25" s="9" customFormat="1" ht="27.75" customHeight="1" thickBot="1" x14ac:dyDescent="0.3">
      <c r="A6" s="2580"/>
      <c r="B6" s="2580"/>
      <c r="C6" s="2580"/>
      <c r="D6" s="2580"/>
      <c r="E6" s="2580"/>
      <c r="F6" s="2580"/>
      <c r="G6" s="2580"/>
      <c r="H6" s="2580"/>
      <c r="I6" s="2580"/>
      <c r="J6" s="2580"/>
      <c r="K6" s="2580"/>
      <c r="L6" s="2580"/>
      <c r="M6" s="2580"/>
      <c r="N6" s="2580"/>
      <c r="O6" s="2580"/>
      <c r="P6" s="2580"/>
      <c r="Q6" s="2580"/>
      <c r="R6" s="2580"/>
      <c r="S6" s="2580"/>
      <c r="T6" s="2580"/>
      <c r="U6" s="2580"/>
      <c r="V6" s="2580"/>
      <c r="W6" s="2580"/>
      <c r="X6" s="2580"/>
      <c r="Y6" s="2580"/>
    </row>
    <row r="7" spans="1:25" s="1" customFormat="1" ht="31.5" customHeight="1" x14ac:dyDescent="0.5">
      <c r="A7" s="2581" t="s">
        <v>67</v>
      </c>
      <c r="B7" s="2581"/>
      <c r="C7" s="2581"/>
      <c r="D7" s="2581"/>
      <c r="E7" s="2581"/>
      <c r="F7" s="2581"/>
      <c r="G7" s="2581"/>
      <c r="H7" s="2581"/>
      <c r="I7" s="2581"/>
      <c r="J7" s="2581"/>
      <c r="K7" s="2581"/>
      <c r="L7" s="2581"/>
      <c r="M7" s="2581"/>
      <c r="N7" s="2581"/>
      <c r="O7" s="2581"/>
      <c r="P7" s="2581"/>
      <c r="Q7" s="2581"/>
      <c r="R7" s="2581"/>
      <c r="S7" s="2581"/>
      <c r="T7" s="2581"/>
      <c r="U7" s="2581"/>
      <c r="V7" s="2581"/>
      <c r="W7" s="2581"/>
      <c r="X7" s="2581"/>
      <c r="Y7" s="2581"/>
    </row>
    <row r="8" spans="1:25" s="1" customFormat="1" ht="24" customHeight="1" x14ac:dyDescent="0.25">
      <c r="A8" s="22"/>
      <c r="B8" s="22"/>
      <c r="C8" s="22"/>
      <c r="D8" s="22"/>
      <c r="E8" s="4"/>
      <c r="F8" s="23"/>
      <c r="G8" s="23"/>
      <c r="H8" s="23"/>
      <c r="I8" s="23"/>
      <c r="J8" s="23"/>
      <c r="K8" s="24"/>
      <c r="L8" s="24"/>
      <c r="M8" s="5"/>
      <c r="N8" s="5"/>
      <c r="O8" s="5"/>
      <c r="S8" s="1914"/>
      <c r="T8" s="1914"/>
      <c r="U8" s="1915" t="s">
        <v>68</v>
      </c>
      <c r="W8" s="1914"/>
      <c r="X8" s="2582">
        <v>42520</v>
      </c>
      <c r="Y8" s="2582"/>
    </row>
    <row r="9" spans="1:25" s="1" customFormat="1" ht="27.75" customHeight="1" x14ac:dyDescent="0.25">
      <c r="A9" s="2583" t="s">
        <v>2</v>
      </c>
      <c r="B9" s="2490" t="s">
        <v>1682</v>
      </c>
      <c r="C9" s="2490"/>
      <c r="D9" s="2467" t="s">
        <v>1668</v>
      </c>
      <c r="E9" s="2467" t="s">
        <v>69</v>
      </c>
      <c r="F9" s="2488" t="s">
        <v>70</v>
      </c>
      <c r="G9" s="2473"/>
      <c r="H9" s="2473"/>
      <c r="I9" s="2473"/>
      <c r="J9" s="2473"/>
      <c r="K9" s="2473"/>
      <c r="L9" s="2473"/>
      <c r="M9" s="2473"/>
      <c r="N9" s="2473"/>
      <c r="O9" s="2473"/>
      <c r="P9" s="2473"/>
      <c r="Q9" s="2473"/>
      <c r="R9" s="2473"/>
      <c r="S9" s="2473"/>
      <c r="T9" s="2473"/>
      <c r="U9" s="2473"/>
      <c r="V9" s="2473"/>
      <c r="W9" s="2473"/>
      <c r="X9" s="2473"/>
      <c r="Y9" s="2474"/>
    </row>
    <row r="10" spans="1:25" s="1" customFormat="1" ht="27.75" customHeight="1" x14ac:dyDescent="0.25">
      <c r="A10" s="2584"/>
      <c r="B10" s="2490"/>
      <c r="C10" s="2490"/>
      <c r="D10" s="2468"/>
      <c r="E10" s="2468"/>
      <c r="F10" s="2510" t="s">
        <v>3416</v>
      </c>
      <c r="G10" s="2510"/>
      <c r="H10" s="2510"/>
      <c r="I10" s="2510"/>
      <c r="J10" s="2590" t="s">
        <v>1648</v>
      </c>
      <c r="K10" s="2591"/>
      <c r="L10" s="2591"/>
      <c r="M10" s="2591"/>
      <c r="N10" s="2591"/>
      <c r="O10" s="2591"/>
      <c r="P10" s="2490" t="s">
        <v>1708</v>
      </c>
      <c r="Q10" s="2591" t="s">
        <v>71</v>
      </c>
      <c r="R10" s="2591"/>
      <c r="S10" s="2591"/>
      <c r="T10" s="2591"/>
      <c r="U10" s="2591"/>
      <c r="V10" s="2591"/>
      <c r="W10" s="2591"/>
      <c r="X10" s="2591"/>
      <c r="Y10" s="2594"/>
    </row>
    <row r="11" spans="1:25" s="1" customFormat="1" ht="51" customHeight="1" x14ac:dyDescent="0.25">
      <c r="A11" s="2584"/>
      <c r="B11" s="2490"/>
      <c r="C11" s="2490"/>
      <c r="D11" s="2468"/>
      <c r="E11" s="2468"/>
      <c r="F11" s="2489" t="s">
        <v>3417</v>
      </c>
      <c r="G11" s="2601" t="s">
        <v>2327</v>
      </c>
      <c r="H11" s="2590" t="s">
        <v>2328</v>
      </c>
      <c r="I11" s="2594"/>
      <c r="J11" s="2592"/>
      <c r="K11" s="2593"/>
      <c r="L11" s="2593"/>
      <c r="M11" s="2593"/>
      <c r="N11" s="2593"/>
      <c r="O11" s="2593"/>
      <c r="P11" s="2490"/>
      <c r="Q11" s="2593"/>
      <c r="R11" s="2593"/>
      <c r="S11" s="2593"/>
      <c r="T11" s="2593"/>
      <c r="U11" s="2593"/>
      <c r="V11" s="2593"/>
      <c r="W11" s="2593"/>
      <c r="X11" s="2593"/>
      <c r="Y11" s="2595"/>
    </row>
    <row r="12" spans="1:25" s="1" customFormat="1" ht="53.25" customHeight="1" x14ac:dyDescent="0.25">
      <c r="A12" s="2584"/>
      <c r="B12" s="2568" t="s">
        <v>368</v>
      </c>
      <c r="C12" s="2568" t="s">
        <v>369</v>
      </c>
      <c r="D12" s="2468"/>
      <c r="E12" s="2468"/>
      <c r="F12" s="2490"/>
      <c r="G12" s="2606"/>
      <c r="H12" s="2592"/>
      <c r="I12" s="2595"/>
      <c r="J12" s="2601">
        <v>0.35</v>
      </c>
      <c r="K12" s="2568">
        <v>0.4</v>
      </c>
      <c r="L12" s="2568">
        <v>0.45</v>
      </c>
      <c r="M12" s="2568" t="s">
        <v>72</v>
      </c>
      <c r="N12" s="2568">
        <v>0.7</v>
      </c>
      <c r="O12" s="2589">
        <v>0.8</v>
      </c>
      <c r="P12" s="2490"/>
      <c r="Q12" s="2586" t="s">
        <v>73</v>
      </c>
      <c r="R12" s="2586"/>
      <c r="S12" s="2586"/>
      <c r="T12" s="2587"/>
      <c r="U12" s="2375" t="s">
        <v>1680</v>
      </c>
      <c r="V12" s="2133" t="s">
        <v>3179</v>
      </c>
      <c r="W12" s="2489" t="s">
        <v>3178</v>
      </c>
      <c r="X12" s="2489"/>
      <c r="Y12" s="2489"/>
    </row>
    <row r="13" spans="1:25" s="1" customFormat="1" ht="36.75" customHeight="1" x14ac:dyDescent="0.25">
      <c r="A13" s="2584"/>
      <c r="B13" s="2588"/>
      <c r="C13" s="2588"/>
      <c r="D13" s="2468"/>
      <c r="E13" s="2468"/>
      <c r="F13" s="1038">
        <v>0.5</v>
      </c>
      <c r="G13" s="1038">
        <v>0.5</v>
      </c>
      <c r="H13" s="1505">
        <v>0.45</v>
      </c>
      <c r="I13" s="1701">
        <v>0.5</v>
      </c>
      <c r="J13" s="2602"/>
      <c r="K13" s="2588"/>
      <c r="L13" s="2588"/>
      <c r="M13" s="2588"/>
      <c r="N13" s="2588"/>
      <c r="O13" s="2588"/>
      <c r="P13" s="2467">
        <v>0.45</v>
      </c>
      <c r="Q13" s="2568">
        <v>0.35</v>
      </c>
      <c r="R13" s="2568">
        <v>0.4</v>
      </c>
      <c r="S13" s="2568">
        <v>0.45</v>
      </c>
      <c r="T13" s="2568">
        <v>0.5</v>
      </c>
      <c r="U13" s="2568">
        <v>0.5</v>
      </c>
      <c r="V13" s="2568">
        <v>0.55000000000000004</v>
      </c>
      <c r="W13" s="2568">
        <v>0.7</v>
      </c>
      <c r="X13" s="2568">
        <v>0.8</v>
      </c>
      <c r="Y13" s="2568">
        <v>0.9</v>
      </c>
    </row>
    <row r="14" spans="1:25" s="1" customFormat="1" ht="44.25" customHeight="1" x14ac:dyDescent="0.25">
      <c r="A14" s="2585"/>
      <c r="B14" s="2569"/>
      <c r="C14" s="2569"/>
      <c r="D14" s="2469"/>
      <c r="E14" s="2469"/>
      <c r="F14" s="2491" t="s">
        <v>1845</v>
      </c>
      <c r="G14" s="2492"/>
      <c r="H14" s="2604" t="s">
        <v>1846</v>
      </c>
      <c r="I14" s="2605"/>
      <c r="J14" s="2603"/>
      <c r="K14" s="2569"/>
      <c r="L14" s="2569"/>
      <c r="M14" s="2569"/>
      <c r="N14" s="2569"/>
      <c r="O14" s="2569"/>
      <c r="P14" s="2469"/>
      <c r="Q14" s="2569"/>
      <c r="R14" s="2569"/>
      <c r="S14" s="2569"/>
      <c r="T14" s="2569"/>
      <c r="U14" s="2569"/>
      <c r="V14" s="2569"/>
      <c r="W14" s="2569"/>
      <c r="X14" s="2569"/>
      <c r="Y14" s="2569"/>
    </row>
    <row r="15" spans="1:25" s="1" customFormat="1" ht="29.25" customHeight="1" x14ac:dyDescent="0.25">
      <c r="A15" s="2578" t="s">
        <v>74</v>
      </c>
      <c r="B15" s="2578"/>
      <c r="C15" s="2578"/>
      <c r="D15" s="2578"/>
      <c r="E15" s="2578"/>
      <c r="F15" s="2339" t="s">
        <v>772</v>
      </c>
      <c r="G15" s="1539" t="s">
        <v>2190</v>
      </c>
      <c r="H15" s="2607" t="s">
        <v>2190</v>
      </c>
      <c r="I15" s="2608"/>
      <c r="J15" s="2579" t="s">
        <v>75</v>
      </c>
      <c r="K15" s="2579"/>
      <c r="L15" s="2579" t="s">
        <v>76</v>
      </c>
      <c r="M15" s="2579"/>
      <c r="N15" s="2579"/>
      <c r="O15" s="2579"/>
      <c r="P15" s="1507" t="s">
        <v>76</v>
      </c>
      <c r="Q15" s="2511" t="s">
        <v>77</v>
      </c>
      <c r="R15" s="2512"/>
      <c r="S15" s="2512"/>
      <c r="T15" s="2512"/>
      <c r="U15" s="1506" t="s">
        <v>14</v>
      </c>
      <c r="V15" s="2512" t="s">
        <v>77</v>
      </c>
      <c r="W15" s="2512"/>
      <c r="X15" s="2512"/>
      <c r="Y15" s="2570"/>
    </row>
    <row r="16" spans="1:25" s="1" customFormat="1" ht="29.25" customHeight="1" x14ac:dyDescent="0.25">
      <c r="A16" s="2577" t="s">
        <v>15</v>
      </c>
      <c r="B16" s="2577"/>
      <c r="C16" s="2577"/>
      <c r="D16" s="2577"/>
      <c r="E16" s="2577"/>
      <c r="F16" s="2577"/>
      <c r="G16" s="2577"/>
      <c r="H16" s="2577"/>
      <c r="I16" s="2577"/>
      <c r="J16" s="2577"/>
      <c r="K16" s="2577"/>
      <c r="L16" s="2577"/>
      <c r="M16" s="2577"/>
      <c r="N16" s="2577"/>
      <c r="O16" s="2577"/>
      <c r="P16" s="2577"/>
      <c r="Q16" s="2577"/>
      <c r="R16" s="2577"/>
      <c r="S16" s="2577"/>
      <c r="T16" s="2577"/>
      <c r="U16" s="2577"/>
      <c r="V16" s="2577"/>
      <c r="W16" s="2577"/>
      <c r="X16" s="2577"/>
      <c r="Y16" s="2577"/>
    </row>
    <row r="17" spans="1:25" s="25" customFormat="1" ht="38.25" customHeight="1" x14ac:dyDescent="0.25">
      <c r="A17" s="30" t="s">
        <v>1696</v>
      </c>
      <c r="B17" s="1589">
        <v>1180</v>
      </c>
      <c r="C17" s="1589">
        <v>1085</v>
      </c>
      <c r="D17" s="1589" t="s">
        <v>1671</v>
      </c>
      <c r="E17" s="28" t="s">
        <v>17</v>
      </c>
      <c r="F17" s="2353">
        <f>ROUND(495*(1-E84),2)</f>
        <v>495</v>
      </c>
      <c r="G17" s="29">
        <f>ROUND(368*(1-F84),2)</f>
        <v>368</v>
      </c>
      <c r="H17" s="29">
        <f>ROUND(383*(1-G84),2)</f>
        <v>383</v>
      </c>
      <c r="I17" s="29">
        <f>ROUND(433*(1-G84),2)</f>
        <v>433</v>
      </c>
      <c r="J17" s="29" t="s">
        <v>17</v>
      </c>
      <c r="K17" s="29" t="s">
        <v>17</v>
      </c>
      <c r="L17" s="29" t="s">
        <v>17</v>
      </c>
      <c r="M17" s="29" t="s">
        <v>17</v>
      </c>
      <c r="N17" s="29" t="s">
        <v>17</v>
      </c>
      <c r="O17" s="29" t="s">
        <v>17</v>
      </c>
      <c r="P17" s="29" t="s">
        <v>17</v>
      </c>
      <c r="Q17" s="1039" t="s">
        <v>17</v>
      </c>
      <c r="R17" s="2211" t="s">
        <v>17</v>
      </c>
      <c r="S17" s="2211" t="s">
        <v>17</v>
      </c>
      <c r="T17" s="2211" t="s">
        <v>17</v>
      </c>
      <c r="U17" s="2211" t="s">
        <v>17</v>
      </c>
      <c r="V17" s="2211" t="s">
        <v>17</v>
      </c>
      <c r="W17" s="2053"/>
      <c r="X17" s="1589" t="s">
        <v>17</v>
      </c>
      <c r="Y17" s="1589" t="s">
        <v>17</v>
      </c>
    </row>
    <row r="18" spans="1:25" s="25" customFormat="1" ht="38.25" customHeight="1" x14ac:dyDescent="0.25">
      <c r="A18" s="30" t="s">
        <v>16</v>
      </c>
      <c r="B18" s="1589">
        <v>1210</v>
      </c>
      <c r="C18" s="1589">
        <v>1150</v>
      </c>
      <c r="D18" s="1589" t="s">
        <v>1671</v>
      </c>
      <c r="E18" s="28" t="s">
        <v>17</v>
      </c>
      <c r="F18" s="2353">
        <f>ROUND(495*(1-E84),2)</f>
        <v>495</v>
      </c>
      <c r="G18" s="29">
        <f>ROUND(368*(1-F84),2)</f>
        <v>368</v>
      </c>
      <c r="H18" s="29">
        <f>ROUND(383*(1-G84),2)</f>
        <v>383</v>
      </c>
      <c r="I18" s="29">
        <f>ROUND(433*(1-G84),2)</f>
        <v>433</v>
      </c>
      <c r="J18" s="29" t="s">
        <v>17</v>
      </c>
      <c r="K18" s="29" t="s">
        <v>17</v>
      </c>
      <c r="L18" s="29" t="s">
        <v>17</v>
      </c>
      <c r="M18" s="29" t="s">
        <v>17</v>
      </c>
      <c r="N18" s="29" t="s">
        <v>17</v>
      </c>
      <c r="O18" s="29" t="s">
        <v>17</v>
      </c>
      <c r="P18" s="29" t="s">
        <v>17</v>
      </c>
      <c r="Q18" s="1039" t="s">
        <v>17</v>
      </c>
      <c r="R18" s="2211" t="s">
        <v>17</v>
      </c>
      <c r="S18" s="2211" t="s">
        <v>17</v>
      </c>
      <c r="T18" s="2211" t="s">
        <v>17</v>
      </c>
      <c r="U18" s="2211" t="s">
        <v>17</v>
      </c>
      <c r="V18" s="2211" t="s">
        <v>17</v>
      </c>
      <c r="W18" s="2053"/>
      <c r="X18" s="1589" t="s">
        <v>17</v>
      </c>
      <c r="Y18" s="1589" t="s">
        <v>17</v>
      </c>
    </row>
    <row r="19" spans="1:25" s="25" customFormat="1" ht="38.25" customHeight="1" x14ac:dyDescent="0.25">
      <c r="A19" s="30" t="s">
        <v>19</v>
      </c>
      <c r="B19" s="1854">
        <v>1200</v>
      </c>
      <c r="C19" s="1854">
        <v>1120</v>
      </c>
      <c r="D19" s="1854" t="s">
        <v>1671</v>
      </c>
      <c r="E19" s="28" t="s">
        <v>17</v>
      </c>
      <c r="F19" s="1519">
        <f>ROUND(495*(1-E84),2)</f>
        <v>495</v>
      </c>
      <c r="G19" s="29">
        <f>ROUND(368*(1-F84),2)</f>
        <v>368</v>
      </c>
      <c r="H19" s="29">
        <f>ROUND(383*(1-G84),2)</f>
        <v>383</v>
      </c>
      <c r="I19" s="29">
        <f>ROUND(433*(1-G84),2)</f>
        <v>433</v>
      </c>
      <c r="J19" s="28" t="s">
        <v>17</v>
      </c>
      <c r="K19" s="28" t="s">
        <v>17</v>
      </c>
      <c r="L19" s="28" t="s">
        <v>17</v>
      </c>
      <c r="M19" s="28" t="s">
        <v>17</v>
      </c>
      <c r="N19" s="28" t="s">
        <v>17</v>
      </c>
      <c r="O19" s="28" t="s">
        <v>17</v>
      </c>
      <c r="P19" s="28" t="s">
        <v>17</v>
      </c>
      <c r="Q19" s="28" t="s">
        <v>17</v>
      </c>
      <c r="R19" s="28" t="s">
        <v>17</v>
      </c>
      <c r="S19" s="28" t="s">
        <v>17</v>
      </c>
      <c r="T19" s="28" t="s">
        <v>17</v>
      </c>
      <c r="U19" s="28" t="s">
        <v>17</v>
      </c>
      <c r="V19" s="28" t="s">
        <v>17</v>
      </c>
      <c r="W19" s="28" t="s">
        <v>17</v>
      </c>
      <c r="X19" s="28" t="s">
        <v>17</v>
      </c>
      <c r="Y19" s="28" t="s">
        <v>17</v>
      </c>
    </row>
    <row r="20" spans="1:25" s="25" customFormat="1" ht="38.25" customHeight="1" x14ac:dyDescent="0.25">
      <c r="A20" s="30" t="s">
        <v>78</v>
      </c>
      <c r="B20" s="1589">
        <v>1180</v>
      </c>
      <c r="C20" s="1589">
        <v>1100</v>
      </c>
      <c r="D20" s="1589" t="s">
        <v>1671</v>
      </c>
      <c r="E20" s="28" t="s">
        <v>17</v>
      </c>
      <c r="F20" s="2353">
        <f>ROUND(485*(1-E84),2)</f>
        <v>485</v>
      </c>
      <c r="G20" s="29">
        <f>ROUND(358*(1-F84),2)</f>
        <v>358</v>
      </c>
      <c r="H20" s="29">
        <f>ROUND(373*(1-G84),2)</f>
        <v>373</v>
      </c>
      <c r="I20" s="29">
        <f>ROUND(423*(1-G84),2)</f>
        <v>423</v>
      </c>
      <c r="J20" s="29" t="s">
        <v>17</v>
      </c>
      <c r="K20" s="29">
        <f>ROUND(295*(1-J84),2)</f>
        <v>295</v>
      </c>
      <c r="L20" s="29">
        <f>ROUND(325*(1-K84),2)</f>
        <v>325</v>
      </c>
      <c r="M20" s="29" t="s">
        <v>17</v>
      </c>
      <c r="N20" s="29" t="s">
        <v>17</v>
      </c>
      <c r="O20" s="29" t="s">
        <v>17</v>
      </c>
      <c r="P20" s="29" t="s">
        <v>17</v>
      </c>
      <c r="Q20" s="1039" t="s">
        <v>17</v>
      </c>
      <c r="R20" s="2211" t="s">
        <v>17</v>
      </c>
      <c r="S20" s="2211" t="s">
        <v>17</v>
      </c>
      <c r="T20" s="2211" t="s">
        <v>17</v>
      </c>
      <c r="U20" s="2211" t="s">
        <v>17</v>
      </c>
      <c r="V20" s="2211" t="s">
        <v>17</v>
      </c>
      <c r="W20" s="2053"/>
      <c r="X20" s="1589" t="s">
        <v>17</v>
      </c>
      <c r="Y20" s="1589" t="s">
        <v>17</v>
      </c>
    </row>
    <row r="21" spans="1:25" s="1" customFormat="1" ht="50.25" customHeight="1" x14ac:dyDescent="0.25">
      <c r="A21" s="1605" t="s">
        <v>2347</v>
      </c>
      <c r="B21" s="1611">
        <v>356.7</v>
      </c>
      <c r="C21" s="1590">
        <v>325</v>
      </c>
      <c r="D21" s="1612" t="s">
        <v>2358</v>
      </c>
      <c r="E21" s="28" t="s">
        <v>17</v>
      </c>
      <c r="F21" s="1519">
        <f>ROUND(830*(1-E88),2)</f>
        <v>830</v>
      </c>
      <c r="G21" s="2341">
        <f>ROUND(630*(1-E88),2)</f>
        <v>630</v>
      </c>
      <c r="H21" s="2341">
        <f>ROUND(606*(1-E88),2)</f>
        <v>606</v>
      </c>
      <c r="I21" s="2341">
        <f>ROUND(656*(1-E88),2)</f>
        <v>656</v>
      </c>
      <c r="J21" s="28" t="s">
        <v>17</v>
      </c>
      <c r="K21" s="28" t="s">
        <v>17</v>
      </c>
      <c r="L21" s="29">
        <f>ROUND(560*(1-E88),2)</f>
        <v>560</v>
      </c>
      <c r="M21" s="28" t="s">
        <v>17</v>
      </c>
      <c r="N21" s="28" t="s">
        <v>17</v>
      </c>
      <c r="O21" s="28" t="s">
        <v>17</v>
      </c>
      <c r="P21" s="28" t="s">
        <v>17</v>
      </c>
      <c r="Q21" s="28" t="s">
        <v>17</v>
      </c>
      <c r="R21" s="28" t="s">
        <v>17</v>
      </c>
      <c r="S21" s="28" t="s">
        <v>17</v>
      </c>
      <c r="T21" s="28" t="s">
        <v>17</v>
      </c>
      <c r="U21" s="28" t="s">
        <v>17</v>
      </c>
      <c r="V21" s="28" t="s">
        <v>17</v>
      </c>
      <c r="W21" s="28" t="s">
        <v>17</v>
      </c>
      <c r="X21" s="28" t="s">
        <v>17</v>
      </c>
      <c r="Y21" s="28" t="s">
        <v>17</v>
      </c>
    </row>
    <row r="22" spans="1:25" s="25" customFormat="1" ht="38.25" customHeight="1" x14ac:dyDescent="0.25">
      <c r="A22" s="30" t="s">
        <v>79</v>
      </c>
      <c r="B22" s="1589">
        <v>625</v>
      </c>
      <c r="C22" s="1589">
        <v>550</v>
      </c>
      <c r="D22" s="1850" t="s">
        <v>2863</v>
      </c>
      <c r="E22" s="28" t="s">
        <v>17</v>
      </c>
      <c r="F22" s="29">
        <f>ROUND(473*(1-E84),2)</f>
        <v>473</v>
      </c>
      <c r="G22" s="29">
        <f>ROUND(363*(1-F84),2)</f>
        <v>363</v>
      </c>
      <c r="H22" s="2341">
        <f>ROUND(389*(1-G84),2)</f>
        <v>389</v>
      </c>
      <c r="I22" s="2341">
        <f>ROUND(437*(1-G84),2)</f>
        <v>437</v>
      </c>
      <c r="J22" s="29" t="s">
        <v>17</v>
      </c>
      <c r="K22" s="29" t="s">
        <v>17</v>
      </c>
      <c r="L22" s="29">
        <f>ROUND(338*(1-K84),2)</f>
        <v>338</v>
      </c>
      <c r="M22" s="1615">
        <f>ROUND(471*(1-L84),2)</f>
        <v>471</v>
      </c>
      <c r="N22" s="1614">
        <f>ROUND(491*(1-L84),2)</f>
        <v>491</v>
      </c>
      <c r="O22" s="29" t="s">
        <v>17</v>
      </c>
      <c r="P22" s="29" t="s">
        <v>17</v>
      </c>
      <c r="Q22" s="1039" t="s">
        <v>17</v>
      </c>
      <c r="R22" s="2211" t="s">
        <v>17</v>
      </c>
      <c r="S22" s="2211">
        <f>ROUND(267*(1-S84),2)</f>
        <v>267</v>
      </c>
      <c r="T22" s="2211" t="s">
        <v>17</v>
      </c>
      <c r="U22" s="2211">
        <f>ROUND(295*(1-U84),2)</f>
        <v>295</v>
      </c>
      <c r="V22" s="2211">
        <f>ROUND(312*(1-V84),2)</f>
        <v>312</v>
      </c>
      <c r="W22" s="2053" t="s">
        <v>17</v>
      </c>
      <c r="X22" s="1589" t="s">
        <v>17</v>
      </c>
      <c r="Y22" s="1589" t="s">
        <v>17</v>
      </c>
    </row>
    <row r="23" spans="1:25" s="1" customFormat="1" ht="38.25" customHeight="1" x14ac:dyDescent="0.25">
      <c r="A23" s="26" t="s">
        <v>80</v>
      </c>
      <c r="B23" s="1504">
        <v>542</v>
      </c>
      <c r="C23" s="1504">
        <v>510</v>
      </c>
      <c r="D23" s="1850" t="s">
        <v>2863</v>
      </c>
      <c r="E23" s="28" t="s">
        <v>17</v>
      </c>
      <c r="F23" s="2340">
        <f>ROUND(545*(1-E84),2)</f>
        <v>545</v>
      </c>
      <c r="G23" s="2340">
        <f>ROUND(419*(1-F84),2)</f>
        <v>419</v>
      </c>
      <c r="H23" s="2341">
        <f>ROUND(449*(1-G84),2)</f>
        <v>449</v>
      </c>
      <c r="I23" s="2341">
        <f>ROUND(504*(1-G84),2)</f>
        <v>504</v>
      </c>
      <c r="J23" s="2340" t="s">
        <v>17</v>
      </c>
      <c r="K23" s="2340" t="s">
        <v>17</v>
      </c>
      <c r="L23" s="2340">
        <f>ROUND(390*(1-K84),2)</f>
        <v>390</v>
      </c>
      <c r="M23" s="1614">
        <f>ROUND(543*(1-L84),2)</f>
        <v>543</v>
      </c>
      <c r="N23" s="1614">
        <f>ROUND(566*(1-L84),2)</f>
        <v>566</v>
      </c>
      <c r="O23" s="2211" t="s">
        <v>17</v>
      </c>
      <c r="P23" s="2211" t="s">
        <v>17</v>
      </c>
      <c r="Q23" s="2211" t="s">
        <v>17</v>
      </c>
      <c r="R23" s="2211" t="s">
        <v>17</v>
      </c>
      <c r="S23" s="2211">
        <f>ROUND(308*(1-S84),2)</f>
        <v>308</v>
      </c>
      <c r="T23" s="2211" t="s">
        <v>17</v>
      </c>
      <c r="U23" s="2211">
        <f>ROUND(340*(1-U84),2)</f>
        <v>340</v>
      </c>
      <c r="V23" s="2211">
        <f>ROUND(360*(1-V84),2)</f>
        <v>360</v>
      </c>
      <c r="W23" s="2053" t="s">
        <v>17</v>
      </c>
      <c r="X23" s="1581" t="s">
        <v>17</v>
      </c>
      <c r="Y23" s="1581" t="s">
        <v>17</v>
      </c>
    </row>
    <row r="24" spans="1:25" s="1" customFormat="1" ht="29.25" customHeight="1" x14ac:dyDescent="0.25">
      <c r="A24" s="2577" t="s">
        <v>22</v>
      </c>
      <c r="B24" s="2577"/>
      <c r="C24" s="2577"/>
      <c r="D24" s="2577"/>
      <c r="E24" s="2577"/>
      <c r="F24" s="2577"/>
      <c r="G24" s="2577"/>
      <c r="H24" s="2577"/>
      <c r="I24" s="2577"/>
      <c r="J24" s="2577"/>
      <c r="K24" s="2577"/>
      <c r="L24" s="2577"/>
      <c r="M24" s="2577"/>
      <c r="N24" s="2577"/>
      <c r="O24" s="2577"/>
      <c r="P24" s="2577"/>
      <c r="Q24" s="2577"/>
      <c r="R24" s="2577"/>
      <c r="S24" s="2577"/>
      <c r="T24" s="2577"/>
      <c r="U24" s="2577"/>
      <c r="V24" s="2577"/>
      <c r="W24" s="2577"/>
      <c r="X24" s="2577"/>
      <c r="Y24" s="2577"/>
    </row>
    <row r="25" spans="1:25" s="25" customFormat="1" ht="38.25" customHeight="1" x14ac:dyDescent="0.25">
      <c r="A25" s="30" t="s">
        <v>81</v>
      </c>
      <c r="B25" s="1504">
        <v>1200</v>
      </c>
      <c r="C25" s="1504">
        <v>1160</v>
      </c>
      <c r="D25" s="1504" t="s">
        <v>1672</v>
      </c>
      <c r="E25" s="28">
        <v>1</v>
      </c>
      <c r="F25" s="29">
        <f>ROUND(451*(1-E85),2)</f>
        <v>451</v>
      </c>
      <c r="G25" s="29">
        <f>ROUND(336*(1-F85),2)</f>
        <v>336</v>
      </c>
      <c r="H25" s="29">
        <f>ROUND(364*(1-G84),2)</f>
        <v>364</v>
      </c>
      <c r="I25" s="29">
        <f>ROUND(414*(1-G84),2)</f>
        <v>414</v>
      </c>
      <c r="J25" s="29">
        <f>ROUND(267*(1-I85),2)</f>
        <v>267</v>
      </c>
      <c r="K25" s="29">
        <f>ROUND(274*(1-J85),2)</f>
        <v>274</v>
      </c>
      <c r="L25" s="29">
        <f>ROUND(310*(1-K85),2)</f>
        <v>310</v>
      </c>
      <c r="M25" s="29" t="s">
        <v>17</v>
      </c>
      <c r="N25" s="29" t="s">
        <v>17</v>
      </c>
      <c r="O25" s="29" t="s">
        <v>17</v>
      </c>
      <c r="P25" s="29">
        <f>ROUND(336*(1-O85),2)</f>
        <v>336</v>
      </c>
      <c r="Q25" s="1039">
        <f>ROUND(191*(1-Q85),2)</f>
        <v>191</v>
      </c>
      <c r="R25" s="2211">
        <f>ROUND(208*(1-R85),2)</f>
        <v>208</v>
      </c>
      <c r="S25" s="2211">
        <f>ROUND(236*(1-S85),2)</f>
        <v>236</v>
      </c>
      <c r="T25" s="2211">
        <f>ROUND(256*(1-T85),2)</f>
        <v>256</v>
      </c>
      <c r="U25" s="2211">
        <f>ROUND(266*(1-U85),2)</f>
        <v>266</v>
      </c>
      <c r="V25" s="2211">
        <f>ROUND(283*(1-V85),2)</f>
        <v>283</v>
      </c>
      <c r="W25" s="2211" t="s">
        <v>17</v>
      </c>
      <c r="X25" s="2211" t="s">
        <v>17</v>
      </c>
      <c r="Y25" s="2211" t="s">
        <v>17</v>
      </c>
    </row>
    <row r="26" spans="1:25" s="25" customFormat="1" ht="38.25" customHeight="1" x14ac:dyDescent="0.25">
      <c r="A26" s="1606" t="s">
        <v>82</v>
      </c>
      <c r="B26" s="1504">
        <v>1180</v>
      </c>
      <c r="C26" s="1504">
        <v>1150</v>
      </c>
      <c r="D26" s="1504" t="s">
        <v>1672</v>
      </c>
      <c r="E26" s="28">
        <v>1.0169999999999999</v>
      </c>
      <c r="F26" s="2340">
        <f>ROUND(461*(1-E85),2)</f>
        <v>461</v>
      </c>
      <c r="G26" s="2211">
        <f>ROUND(344*(1-F85),2)</f>
        <v>344</v>
      </c>
      <c r="H26" s="2211">
        <f>ROUND(372*(1-G84),2)</f>
        <v>372</v>
      </c>
      <c r="I26" s="2211">
        <f>ROUND(423*(1-G84),2)</f>
        <v>423</v>
      </c>
      <c r="J26" s="2340">
        <f>ROUND(274*(1-I85),2)</f>
        <v>274</v>
      </c>
      <c r="K26" s="2340">
        <f>ROUND(281*(1-J85),2)</f>
        <v>281</v>
      </c>
      <c r="L26" s="2340">
        <f>ROUND(317*(1-K85),2)</f>
        <v>317</v>
      </c>
      <c r="M26" s="1614">
        <f>ROUND(459*(1-L84),2)</f>
        <v>459</v>
      </c>
      <c r="N26" s="1614">
        <f>ROUND(480*(1-L84),2)</f>
        <v>480</v>
      </c>
      <c r="O26" s="2211" t="s">
        <v>17</v>
      </c>
      <c r="P26" s="2211">
        <f>ROUND(344*(1-O85),2)</f>
        <v>344</v>
      </c>
      <c r="Q26" s="2211">
        <f>ROUND(196*(1-Q85),2)</f>
        <v>196</v>
      </c>
      <c r="R26" s="2211">
        <f>ROUND(214*(1-R85),2)</f>
        <v>214</v>
      </c>
      <c r="S26" s="2211">
        <f>ROUND(242*(1-S85),2)</f>
        <v>242</v>
      </c>
      <c r="T26" s="2211">
        <f>ROUND(262*(1-T85),2)</f>
        <v>262</v>
      </c>
      <c r="U26" s="2211">
        <f>ROUND(273*(1-U85),2)</f>
        <v>273</v>
      </c>
      <c r="V26" s="2211">
        <f>ROUND(290*(1-V85),2)</f>
        <v>290</v>
      </c>
      <c r="W26" s="2211">
        <f>ROUND(358*(1-W85),2)</f>
        <v>358</v>
      </c>
      <c r="X26" s="2211" t="s">
        <v>17</v>
      </c>
      <c r="Y26" s="2211" t="s">
        <v>17</v>
      </c>
    </row>
    <row r="27" spans="1:25" s="25" customFormat="1" ht="38.25" customHeight="1" x14ac:dyDescent="0.25">
      <c r="A27" s="30" t="s">
        <v>83</v>
      </c>
      <c r="B27" s="1504">
        <v>1180</v>
      </c>
      <c r="C27" s="1504">
        <v>1150</v>
      </c>
      <c r="D27" s="1504" t="s">
        <v>1673</v>
      </c>
      <c r="E27" s="28" t="s">
        <v>17</v>
      </c>
      <c r="F27" s="29">
        <f>ROUND(516*(1-E85),2)</f>
        <v>516</v>
      </c>
      <c r="G27" s="29">
        <f>ROUND(399*(1-F85),2)</f>
        <v>399</v>
      </c>
      <c r="H27" s="29">
        <f>ROUND(427*(1-G84),2)</f>
        <v>427</v>
      </c>
      <c r="I27" s="29">
        <f>ROUND(478*(1-G84),2)</f>
        <v>478</v>
      </c>
      <c r="J27" s="29" t="s">
        <v>17</v>
      </c>
      <c r="K27" s="29" t="s">
        <v>17</v>
      </c>
      <c r="L27" s="29">
        <f>ROUND(372*(1-K85),2)</f>
        <v>372</v>
      </c>
      <c r="M27" s="1615" t="s">
        <v>17</v>
      </c>
      <c r="N27" s="29" t="s">
        <v>17</v>
      </c>
      <c r="O27" s="29" t="s">
        <v>17</v>
      </c>
      <c r="P27" s="29">
        <f>ROUND(399*(1-O85),2)</f>
        <v>399</v>
      </c>
      <c r="Q27" s="1039" t="s">
        <v>17</v>
      </c>
      <c r="R27" s="2211" t="s">
        <v>17</v>
      </c>
      <c r="S27" s="2211">
        <f>ROUND(297*(1-S85),2)</f>
        <v>297</v>
      </c>
      <c r="T27" s="2211">
        <f>ROUND(317*(1-T85),2)</f>
        <v>317</v>
      </c>
      <c r="U27" s="2211">
        <f>ROUND(328*(1-U85),2)</f>
        <v>328</v>
      </c>
      <c r="V27" s="2211" t="s">
        <v>17</v>
      </c>
      <c r="W27" s="2211" t="s">
        <v>17</v>
      </c>
      <c r="X27" s="2211" t="s">
        <v>17</v>
      </c>
      <c r="Y27" s="2211" t="s">
        <v>17</v>
      </c>
    </row>
    <row r="28" spans="1:25" s="25" customFormat="1" ht="38.25" customHeight="1" x14ac:dyDescent="0.25">
      <c r="A28" s="26" t="s">
        <v>84</v>
      </c>
      <c r="B28" s="1504">
        <v>1150</v>
      </c>
      <c r="C28" s="1504">
        <v>1110</v>
      </c>
      <c r="D28" s="1504" t="s">
        <v>1672</v>
      </c>
      <c r="E28" s="28">
        <v>1.0429999999999999</v>
      </c>
      <c r="F28" s="2340">
        <f>ROUND(471*(1-E85),2)</f>
        <v>471</v>
      </c>
      <c r="G28" s="2211">
        <f>ROUND(351*(1-F85),2)</f>
        <v>351</v>
      </c>
      <c r="H28" s="2211">
        <f>ROUND(380*(1-G84),2)</f>
        <v>380</v>
      </c>
      <c r="I28" s="2211">
        <f>ROUND(432*(1-G84),2)</f>
        <v>432</v>
      </c>
      <c r="J28" s="2340">
        <f>ROUND(279*(1-I85),2)</f>
        <v>279</v>
      </c>
      <c r="K28" s="2340">
        <f>ROUND(286*(1-J85),2)</f>
        <v>286</v>
      </c>
      <c r="L28" s="2340">
        <f>ROUND(323*(1-K85),2)</f>
        <v>323</v>
      </c>
      <c r="M28" s="1614">
        <f>ROUND(469*(1-L84),2)</f>
        <v>469</v>
      </c>
      <c r="N28" s="1614">
        <f>ROUND(490*(1-L84),2)</f>
        <v>490</v>
      </c>
      <c r="O28" s="2211" t="s">
        <v>17</v>
      </c>
      <c r="P28" s="2211">
        <f>ROUND(351*(1-O85),2)</f>
        <v>351</v>
      </c>
      <c r="Q28" s="2211">
        <f>ROUND(199*(1-Q85),2)</f>
        <v>199</v>
      </c>
      <c r="R28" s="2211">
        <f>ROUND(217*(1-R85),2)</f>
        <v>217</v>
      </c>
      <c r="S28" s="2211">
        <f>ROUND(246*(1-S85),2)</f>
        <v>246</v>
      </c>
      <c r="T28" s="2211">
        <f>ROUND(267*(1-T85),2)</f>
        <v>267</v>
      </c>
      <c r="U28" s="2211">
        <f>ROUND(278*(1-U85),2)</f>
        <v>278</v>
      </c>
      <c r="V28" s="2211">
        <f>ROUND(295*(1-V85),2)</f>
        <v>295</v>
      </c>
      <c r="W28" s="2211">
        <f>ROUND(365*(1-W85),2)</f>
        <v>365</v>
      </c>
      <c r="X28" s="2211" t="s">
        <v>17</v>
      </c>
      <c r="Y28" s="2211" t="s">
        <v>17</v>
      </c>
    </row>
    <row r="29" spans="1:25" s="25" customFormat="1" ht="38.25" customHeight="1" x14ac:dyDescent="0.25">
      <c r="A29" s="30" t="s">
        <v>85</v>
      </c>
      <c r="B29" s="1504">
        <v>1051</v>
      </c>
      <c r="C29" s="1504">
        <v>1000</v>
      </c>
      <c r="D29" s="1504" t="s">
        <v>1674</v>
      </c>
      <c r="E29" s="28">
        <v>1.1419999999999999</v>
      </c>
      <c r="F29" s="29">
        <f>ROUND(518*(1-E85),2)</f>
        <v>518</v>
      </c>
      <c r="G29" s="29">
        <f>ROUND(384*(1-F85),2)</f>
        <v>384</v>
      </c>
      <c r="H29" s="29">
        <f>ROUND(416*(1-G84),2)</f>
        <v>416</v>
      </c>
      <c r="I29" s="29">
        <f>ROUND(473*(1-G84),2)</f>
        <v>473</v>
      </c>
      <c r="J29" s="29">
        <f>ROUND(308*(1-I85),2)</f>
        <v>308</v>
      </c>
      <c r="K29" s="29">
        <f>ROUND(316*(1-J85),2)</f>
        <v>316</v>
      </c>
      <c r="L29" s="29">
        <f>ROUND(357*(1-K85),2)</f>
        <v>357</v>
      </c>
      <c r="M29" s="1615">
        <f>ROUND(515*(1-L84),2)</f>
        <v>515</v>
      </c>
      <c r="N29" s="1615">
        <f>ROUND(525*(1-L84),2)</f>
        <v>525</v>
      </c>
      <c r="O29" s="29" t="s">
        <v>17</v>
      </c>
      <c r="P29" s="29">
        <f>ROUND(384*(1-O85),2)</f>
        <v>384</v>
      </c>
      <c r="Q29" s="1039">
        <f>ROUND(218*(1-Q85),2)</f>
        <v>218</v>
      </c>
      <c r="R29" s="2211">
        <f>ROUND(238*(1-R85),2)</f>
        <v>238</v>
      </c>
      <c r="S29" s="2211">
        <f>ROUND(269*(1-S85),2)</f>
        <v>269</v>
      </c>
      <c r="T29" s="2211">
        <f>ROUND(292*(1-T85),2)</f>
        <v>292</v>
      </c>
      <c r="U29" s="2211">
        <f>ROUND(304*(1-U85),2)</f>
        <v>304</v>
      </c>
      <c r="V29" s="2211">
        <f>ROUND(323*(1-V85),2)</f>
        <v>323</v>
      </c>
      <c r="W29" s="2211">
        <f>ROUND(399*(1-W85),2)</f>
        <v>399</v>
      </c>
      <c r="X29" s="2211" t="s">
        <v>17</v>
      </c>
      <c r="Y29" s="2211" t="s">
        <v>17</v>
      </c>
    </row>
    <row r="30" spans="1:25" s="25" customFormat="1" ht="38.25" customHeight="1" x14ac:dyDescent="0.25">
      <c r="A30" s="26" t="s">
        <v>86</v>
      </c>
      <c r="B30" s="1504">
        <v>1060</v>
      </c>
      <c r="C30" s="1504">
        <v>1000</v>
      </c>
      <c r="D30" s="1504" t="s">
        <v>1674</v>
      </c>
      <c r="E30" s="28">
        <v>1.1319999999999999</v>
      </c>
      <c r="F30" s="2340">
        <f>ROUND(517*(1-E85),2)</f>
        <v>517</v>
      </c>
      <c r="G30" s="2211">
        <f>ROUND(383*(1-F85),2)</f>
        <v>383</v>
      </c>
      <c r="H30" s="2211">
        <f>ROUND(415*(1-G84),2)</f>
        <v>415</v>
      </c>
      <c r="I30" s="2211">
        <f>ROUND(472*(1-G84),2)</f>
        <v>472</v>
      </c>
      <c r="J30" s="2340" t="s">
        <v>17</v>
      </c>
      <c r="K30" s="2340" t="s">
        <v>17</v>
      </c>
      <c r="L30" s="2340">
        <f>ROUND(356*(1-K85),2)</f>
        <v>356</v>
      </c>
      <c r="M30" s="1614">
        <f>ROUND(514*(1-L84),2)</f>
        <v>514</v>
      </c>
      <c r="N30" s="1614">
        <f>ROUND(524*(1-L84),2)</f>
        <v>524</v>
      </c>
      <c r="O30" s="1614">
        <f>ROUND(600*(1-L84),2)</f>
        <v>600</v>
      </c>
      <c r="P30" s="2211">
        <f>ROUND(383*(1-O85),2)</f>
        <v>383</v>
      </c>
      <c r="Q30" s="2211" t="s">
        <v>17</v>
      </c>
      <c r="R30" s="2211" t="s">
        <v>87</v>
      </c>
      <c r="S30" s="2211">
        <f>ROUND(268*(1-S85),2)</f>
        <v>268</v>
      </c>
      <c r="T30" s="2211">
        <f>ROUND(291*(1-T85),2)</f>
        <v>291</v>
      </c>
      <c r="U30" s="2211">
        <f>ROUND(303*(1-U85),2)</f>
        <v>303</v>
      </c>
      <c r="V30" s="2211">
        <f>ROUND(322*(1-V85),2)</f>
        <v>322</v>
      </c>
      <c r="W30" s="2211">
        <f>ROUND(398*(1-W85),2)</f>
        <v>398</v>
      </c>
      <c r="X30" s="2211">
        <f>ROUND(444*(1-X85),2)</f>
        <v>444</v>
      </c>
      <c r="Y30" s="2211" t="s">
        <v>17</v>
      </c>
    </row>
    <row r="31" spans="1:25" s="25" customFormat="1" ht="38.25" customHeight="1" x14ac:dyDescent="0.25">
      <c r="A31" s="30" t="s">
        <v>88</v>
      </c>
      <c r="B31" s="1504">
        <v>902</v>
      </c>
      <c r="C31" s="1504">
        <v>845</v>
      </c>
      <c r="D31" s="1504" t="s">
        <v>1674</v>
      </c>
      <c r="E31" s="28">
        <v>1.33</v>
      </c>
      <c r="F31" s="29">
        <f>ROUND(600*(1-E85),2)</f>
        <v>600</v>
      </c>
      <c r="G31" s="29">
        <f>ROUND(447*(1-F85),2)</f>
        <v>447</v>
      </c>
      <c r="H31" s="29" t="s">
        <v>17</v>
      </c>
      <c r="I31" s="29" t="s">
        <v>17</v>
      </c>
      <c r="J31" s="29" t="s">
        <v>17</v>
      </c>
      <c r="K31" s="29" t="s">
        <v>17</v>
      </c>
      <c r="L31" s="29" t="s">
        <v>17</v>
      </c>
      <c r="M31" s="1615">
        <f>ROUND(597*(1-L84),2)</f>
        <v>597</v>
      </c>
      <c r="N31" s="1615">
        <f>ROUND(620*(1-L84),2)</f>
        <v>620</v>
      </c>
      <c r="O31" s="1615">
        <f>ROUND(705*(1-L84),2)</f>
        <v>705</v>
      </c>
      <c r="P31" s="29">
        <f>ROUND(447*(1-O85),2)</f>
        <v>447</v>
      </c>
      <c r="Q31" s="1039" t="s">
        <v>17</v>
      </c>
      <c r="R31" s="2211" t="s">
        <v>87</v>
      </c>
      <c r="S31" s="2211" t="s">
        <v>17</v>
      </c>
      <c r="T31" s="2211">
        <f>ROUND(341*(1-T85),2)</f>
        <v>341</v>
      </c>
      <c r="U31" s="2211">
        <f>ROUND(354*(1-U85),2)</f>
        <v>354</v>
      </c>
      <c r="V31" s="2211">
        <f>ROUND(376*(1-V85),2)</f>
        <v>376</v>
      </c>
      <c r="W31" s="2211">
        <f>ROUND(465*(1-W85),2)</f>
        <v>465</v>
      </c>
      <c r="X31" s="2211">
        <f>ROUND(519*(1-X85),2)</f>
        <v>519</v>
      </c>
      <c r="Y31" s="2211">
        <f>ROUND(582*(1-Y85),2)</f>
        <v>582</v>
      </c>
    </row>
    <row r="32" spans="1:25" s="25" customFormat="1" ht="38.25" customHeight="1" x14ac:dyDescent="0.25">
      <c r="A32" s="26" t="s">
        <v>89</v>
      </c>
      <c r="B32" s="1504">
        <v>800</v>
      </c>
      <c r="C32" s="1504">
        <v>750</v>
      </c>
      <c r="D32" s="1504" t="s">
        <v>1674</v>
      </c>
      <c r="E32" s="28">
        <v>1.5</v>
      </c>
      <c r="F32" s="2340" t="s">
        <v>17</v>
      </c>
      <c r="G32" s="2211" t="s">
        <v>17</v>
      </c>
      <c r="H32" s="2211" t="s">
        <v>17</v>
      </c>
      <c r="I32" s="2211" t="s">
        <v>17</v>
      </c>
      <c r="J32" s="2340" t="s">
        <v>17</v>
      </c>
      <c r="K32" s="2340" t="s">
        <v>17</v>
      </c>
      <c r="L32" s="2340" t="s">
        <v>17</v>
      </c>
      <c r="M32" s="1614">
        <f>ROUND(674*(1-L84),2)</f>
        <v>674</v>
      </c>
      <c r="N32" s="1614">
        <f>ROUND(700*(1-L84),2)</f>
        <v>700</v>
      </c>
      <c r="O32" s="1614">
        <f>ROUND(795*(1-L84),2)</f>
        <v>795</v>
      </c>
      <c r="P32" s="2211" t="s">
        <v>17</v>
      </c>
      <c r="Q32" s="2211" t="s">
        <v>17</v>
      </c>
      <c r="R32" s="2211" t="s">
        <v>87</v>
      </c>
      <c r="S32" s="2211" t="s">
        <v>87</v>
      </c>
      <c r="T32" s="2211" t="s">
        <v>87</v>
      </c>
      <c r="U32" s="2211" t="s">
        <v>17</v>
      </c>
      <c r="V32" s="2211" t="s">
        <v>17</v>
      </c>
      <c r="W32" s="2211">
        <f>ROUND(524*(1-W85),2)</f>
        <v>524</v>
      </c>
      <c r="X32" s="2211">
        <f>ROUND(585*(1-X85),2)</f>
        <v>585</v>
      </c>
      <c r="Y32" s="2211">
        <f>ROUND(656*(1-Y85),2)</f>
        <v>656</v>
      </c>
    </row>
    <row r="33" spans="1:25" s="25" customFormat="1" ht="36" customHeight="1" x14ac:dyDescent="0.25">
      <c r="A33" s="30" t="s">
        <v>30</v>
      </c>
      <c r="B33" s="1504">
        <v>625</v>
      </c>
      <c r="C33" s="1504" t="s">
        <v>17</v>
      </c>
      <c r="D33" s="1040" t="s">
        <v>1675</v>
      </c>
      <c r="E33" s="28" t="s">
        <v>17</v>
      </c>
      <c r="F33" s="29">
        <f>ROUND(461*(1-E86),2)</f>
        <v>461</v>
      </c>
      <c r="G33" s="29">
        <f>ROUND(346*(1-F86),2)</f>
        <v>346</v>
      </c>
      <c r="H33" s="29">
        <f>ROUND(374*(1-G84),2)</f>
        <v>374</v>
      </c>
      <c r="I33" s="29">
        <f>ROUND(424*(1-G84),2)</f>
        <v>424</v>
      </c>
      <c r="J33" s="29">
        <f>ROUND(277*(1-I86),2)</f>
        <v>277</v>
      </c>
      <c r="K33" s="29">
        <f>ROUND(284*(1-J86),2)</f>
        <v>284</v>
      </c>
      <c r="L33" s="29">
        <f>ROUND(320*(1-K86),2)</f>
        <v>320</v>
      </c>
      <c r="M33" s="1615">
        <f>ROUND(461*(1-L84),2)</f>
        <v>461</v>
      </c>
      <c r="N33" s="1615">
        <f>ROUND(480*(1-L84),2)</f>
        <v>480</v>
      </c>
      <c r="O33" s="1615">
        <f>ROUND(540*(1-L84),2)</f>
        <v>540</v>
      </c>
      <c r="P33" s="29">
        <f>ROUND(346*(1-O86),2)</f>
        <v>346</v>
      </c>
      <c r="Q33" s="1039">
        <f>ROUND(201*(1-Q86),2)</f>
        <v>201</v>
      </c>
      <c r="R33" s="2211">
        <f>ROUND(218*(1-R86),2)</f>
        <v>218</v>
      </c>
      <c r="S33" s="2211">
        <f>ROUND(246*(1-S86),2)</f>
        <v>246</v>
      </c>
      <c r="T33" s="2211">
        <f>ROUND(266*(1-T86),2)</f>
        <v>266</v>
      </c>
      <c r="U33" s="2211">
        <f>ROUND(276*(1-U86),2)</f>
        <v>276</v>
      </c>
      <c r="V33" s="2211">
        <f>ROUND(293*(1-V86),2)</f>
        <v>293</v>
      </c>
      <c r="W33" s="2211">
        <f>ROUND(360*(1-W86),2)</f>
        <v>360</v>
      </c>
      <c r="X33" s="2211">
        <f>ROUND(401*(1-X86),2)</f>
        <v>401</v>
      </c>
      <c r="Y33" s="2211">
        <f>ROUND(448*(1-Y86),2)</f>
        <v>448</v>
      </c>
    </row>
    <row r="34" spans="1:25" s="25" customFormat="1" ht="36" customHeight="1" x14ac:dyDescent="0.25">
      <c r="A34" s="26" t="s">
        <v>2910</v>
      </c>
      <c r="B34" s="1504">
        <v>1250</v>
      </c>
      <c r="C34" s="1643" t="s">
        <v>17</v>
      </c>
      <c r="D34" s="1042" t="s">
        <v>3423</v>
      </c>
      <c r="E34" s="1043" t="s">
        <v>90</v>
      </c>
      <c r="F34" s="2233">
        <f>ROUND(456*(1-E86),2)</f>
        <v>456</v>
      </c>
      <c r="G34" s="2233">
        <f>ROUND(341*(1-F86),2)</f>
        <v>341</v>
      </c>
      <c r="H34" s="2233">
        <f>ROUND(369*(1-G84),2)</f>
        <v>369</v>
      </c>
      <c r="I34" s="2233">
        <f>ROUND(419*(1-G84),2)</f>
        <v>419</v>
      </c>
      <c r="J34" s="2359">
        <f>ROUND(272*(1-I86),2)</f>
        <v>272</v>
      </c>
      <c r="K34" s="2233">
        <f>ROUND(279*(1-J86),2)</f>
        <v>279</v>
      </c>
      <c r="L34" s="2233">
        <f>ROUND(315*(1-K86),2)</f>
        <v>315</v>
      </c>
      <c r="M34" s="2377">
        <f>ROUND(456*(1-L84),2)</f>
        <v>456</v>
      </c>
      <c r="N34" s="2377">
        <f>ROUND(475*(1-L84),2)</f>
        <v>475</v>
      </c>
      <c r="O34" s="2377">
        <f>ROUND(535*(1-L84),2)</f>
        <v>535</v>
      </c>
      <c r="P34" s="2233">
        <f>ROUND(341*(1-O86),2)</f>
        <v>341</v>
      </c>
      <c r="Q34" s="1039">
        <f>ROUND(196*(1-Q86),2)</f>
        <v>196</v>
      </c>
      <c r="R34" s="2211">
        <f>ROUND(213*(1-R86),2)</f>
        <v>213</v>
      </c>
      <c r="S34" s="2211">
        <f>ROUND(241*(1-S86),2)</f>
        <v>241</v>
      </c>
      <c r="T34" s="2211">
        <f>ROUND(261*(1-T86),2)</f>
        <v>261</v>
      </c>
      <c r="U34" s="2211">
        <f>ROUND(271*(1-U86),2)</f>
        <v>271</v>
      </c>
      <c r="V34" s="2211">
        <f>ROUND(288*(1-V86),2)</f>
        <v>288</v>
      </c>
      <c r="W34" s="2211">
        <f>ROUND(355*(1-W86),2)</f>
        <v>355</v>
      </c>
      <c r="X34" s="2211">
        <f>ROUND(396*(1-X86),2)</f>
        <v>396</v>
      </c>
      <c r="Y34" s="2211">
        <f>ROUND(443*(1-Y86),2)</f>
        <v>443</v>
      </c>
    </row>
    <row r="35" spans="1:25" s="1" customFormat="1" ht="29.25" customHeight="1" x14ac:dyDescent="0.25">
      <c r="A35" s="2577" t="s">
        <v>33</v>
      </c>
      <c r="B35" s="2577"/>
      <c r="C35" s="2577"/>
      <c r="D35" s="2577"/>
      <c r="E35" s="2577"/>
      <c r="F35" s="2577"/>
      <c r="G35" s="2577"/>
      <c r="H35" s="2577"/>
      <c r="I35" s="2577"/>
      <c r="J35" s="2577"/>
      <c r="K35" s="2577"/>
      <c r="L35" s="2577"/>
      <c r="M35" s="2577"/>
      <c r="N35" s="2577"/>
      <c r="O35" s="2577"/>
      <c r="P35" s="2577"/>
      <c r="Q35" s="2577"/>
      <c r="R35" s="2577"/>
      <c r="S35" s="2577"/>
      <c r="T35" s="2577"/>
      <c r="U35" s="2577"/>
      <c r="V35" s="2577"/>
      <c r="W35" s="2577"/>
      <c r="X35" s="2577"/>
      <c r="Y35" s="2577"/>
    </row>
    <row r="36" spans="1:25" s="1" customFormat="1" ht="38.25" customHeight="1" x14ac:dyDescent="0.25">
      <c r="A36" s="30" t="s">
        <v>34</v>
      </c>
      <c r="B36" s="1709">
        <v>265</v>
      </c>
      <c r="C36" s="1709">
        <v>240</v>
      </c>
      <c r="D36" s="1709" t="s">
        <v>1676</v>
      </c>
      <c r="E36" s="28" t="s">
        <v>17</v>
      </c>
      <c r="F36" s="29">
        <f>ROUND(517*(1-E85),2)</f>
        <v>517</v>
      </c>
      <c r="G36" s="29">
        <f>ROUND(394*(1-F85),2)</f>
        <v>394</v>
      </c>
      <c r="H36" s="29">
        <f>ROUND(399*(1-G84),2)</f>
        <v>399</v>
      </c>
      <c r="I36" s="29" t="s">
        <v>17</v>
      </c>
      <c r="J36" s="29" t="s">
        <v>17</v>
      </c>
      <c r="K36" s="29" t="s">
        <v>17</v>
      </c>
      <c r="L36" s="29">
        <f>ROUND(355*(1-K85),2)</f>
        <v>355</v>
      </c>
      <c r="M36" s="29" t="s">
        <v>17</v>
      </c>
      <c r="N36" s="29" t="s">
        <v>17</v>
      </c>
      <c r="O36" s="29" t="s">
        <v>17</v>
      </c>
      <c r="P36" s="29" t="s">
        <v>17</v>
      </c>
      <c r="Q36" s="2448" t="s">
        <v>17</v>
      </c>
      <c r="R36" s="2478"/>
      <c r="S36" s="2478"/>
      <c r="T36" s="2478"/>
      <c r="U36" s="2478"/>
      <c r="V36" s="2478"/>
      <c r="W36" s="2478"/>
      <c r="X36" s="2478"/>
      <c r="Y36" s="2479"/>
    </row>
    <row r="37" spans="1:25" s="25" customFormat="1" ht="38.25" customHeight="1" x14ac:dyDescent="0.25">
      <c r="A37" s="26" t="s">
        <v>91</v>
      </c>
      <c r="B37" s="1709">
        <v>200</v>
      </c>
      <c r="C37" s="1709">
        <v>176</v>
      </c>
      <c r="D37" s="1709" t="s">
        <v>1676</v>
      </c>
      <c r="E37" s="28" t="s">
        <v>17</v>
      </c>
      <c r="F37" s="2340">
        <f>ROUND(547*(1-E85),2)</f>
        <v>547</v>
      </c>
      <c r="G37" s="2340">
        <f>ROUND(416*(1-F85),2)</f>
        <v>416</v>
      </c>
      <c r="H37" s="2340">
        <f>ROUND(423*(1-G84),2)</f>
        <v>423</v>
      </c>
      <c r="I37" s="2340">
        <f>ROUND(473*(1-G84),2)</f>
        <v>473</v>
      </c>
      <c r="J37" s="2340" t="s">
        <v>17</v>
      </c>
      <c r="K37" s="2340" t="s">
        <v>17</v>
      </c>
      <c r="L37" s="2340">
        <f>ROUND(376*(1-K85),2)</f>
        <v>376</v>
      </c>
      <c r="M37" s="2211" t="s">
        <v>17</v>
      </c>
      <c r="N37" s="2211" t="s">
        <v>17</v>
      </c>
      <c r="O37" s="2211" t="s">
        <v>17</v>
      </c>
      <c r="P37" s="2211" t="s">
        <v>17</v>
      </c>
      <c r="Q37" s="2448" t="s">
        <v>17</v>
      </c>
      <c r="R37" s="2478"/>
      <c r="S37" s="2478"/>
      <c r="T37" s="2478"/>
      <c r="U37" s="2478"/>
      <c r="V37" s="2478"/>
      <c r="W37" s="2478"/>
      <c r="X37" s="2478"/>
      <c r="Y37" s="2479"/>
    </row>
    <row r="38" spans="1:25" s="25" customFormat="1" ht="38.25" customHeight="1" x14ac:dyDescent="0.25">
      <c r="A38" s="26" t="s">
        <v>36</v>
      </c>
      <c r="B38" s="1709">
        <v>345</v>
      </c>
      <c r="C38" s="1709">
        <v>320</v>
      </c>
      <c r="D38" s="1709" t="s">
        <v>1676</v>
      </c>
      <c r="E38" s="28" t="s">
        <v>17</v>
      </c>
      <c r="F38" s="2340">
        <f>ROUND(529*(1-E85),2)</f>
        <v>529</v>
      </c>
      <c r="G38" s="2340">
        <f>ROUND(408*(1-F85),2)</f>
        <v>408</v>
      </c>
      <c r="H38" s="2340" t="s">
        <v>17</v>
      </c>
      <c r="I38" s="2340" t="s">
        <v>17</v>
      </c>
      <c r="J38" s="28" t="s">
        <v>17</v>
      </c>
      <c r="K38" s="28" t="s">
        <v>17</v>
      </c>
      <c r="L38" s="2340">
        <f>ROUND(365*(1-K85),2)</f>
        <v>365</v>
      </c>
      <c r="M38" s="2211" t="s">
        <v>17</v>
      </c>
      <c r="N38" s="2211" t="s">
        <v>17</v>
      </c>
      <c r="O38" s="2211" t="s">
        <v>17</v>
      </c>
      <c r="P38" s="2211" t="s">
        <v>17</v>
      </c>
      <c r="Q38" s="2448" t="s">
        <v>17</v>
      </c>
      <c r="R38" s="2478"/>
      <c r="S38" s="2478"/>
      <c r="T38" s="2478"/>
      <c r="U38" s="2478"/>
      <c r="V38" s="2478"/>
      <c r="W38" s="2478"/>
      <c r="X38" s="2478"/>
      <c r="Y38" s="2479"/>
    </row>
    <row r="39" spans="1:25" s="25" customFormat="1" ht="38.25" customHeight="1" x14ac:dyDescent="0.25">
      <c r="A39" s="26" t="s">
        <v>92</v>
      </c>
      <c r="B39" s="1709">
        <v>390</v>
      </c>
      <c r="C39" s="1709">
        <v>360</v>
      </c>
      <c r="D39" s="1709" t="s">
        <v>1676</v>
      </c>
      <c r="E39" s="28" t="s">
        <v>17</v>
      </c>
      <c r="F39" s="2340">
        <f>ROUND(529*(1-E85),2)</f>
        <v>529</v>
      </c>
      <c r="G39" s="2340">
        <f>ROUND(408*(1-F85),2)</f>
        <v>408</v>
      </c>
      <c r="H39" s="2340" t="s">
        <v>17</v>
      </c>
      <c r="I39" s="2340" t="s">
        <v>17</v>
      </c>
      <c r="J39" s="2340" t="s">
        <v>17</v>
      </c>
      <c r="K39" s="2340" t="s">
        <v>17</v>
      </c>
      <c r="L39" s="2340" t="s">
        <v>17</v>
      </c>
      <c r="M39" s="2211" t="s">
        <v>17</v>
      </c>
      <c r="N39" s="2211" t="s">
        <v>17</v>
      </c>
      <c r="O39" s="2211" t="s">
        <v>17</v>
      </c>
      <c r="P39" s="2211" t="s">
        <v>17</v>
      </c>
      <c r="Q39" s="2448" t="s">
        <v>17</v>
      </c>
      <c r="R39" s="2478"/>
      <c r="S39" s="2478"/>
      <c r="T39" s="2478"/>
      <c r="U39" s="2478"/>
      <c r="V39" s="2478"/>
      <c r="W39" s="2478"/>
      <c r="X39" s="2478"/>
      <c r="Y39" s="2479"/>
    </row>
    <row r="40" spans="1:25" s="1" customFormat="1" ht="29.25" customHeight="1" x14ac:dyDescent="0.25">
      <c r="A40" s="2449" t="s">
        <v>38</v>
      </c>
      <c r="B40" s="2450"/>
      <c r="C40" s="2450"/>
      <c r="D40" s="2450"/>
      <c r="E40" s="2450"/>
      <c r="F40" s="2450"/>
      <c r="G40" s="2450"/>
      <c r="H40" s="2450"/>
      <c r="I40" s="2450"/>
      <c r="J40" s="2450"/>
      <c r="K40" s="2450"/>
      <c r="L40" s="2450"/>
      <c r="M40" s="2450"/>
      <c r="N40" s="2450"/>
      <c r="O40" s="2450"/>
      <c r="P40" s="2450"/>
      <c r="Q40" s="2450"/>
      <c r="R40" s="2450"/>
      <c r="S40" s="2450"/>
      <c r="T40" s="2450"/>
      <c r="U40" s="2450"/>
      <c r="V40" s="2450"/>
      <c r="W40" s="2450"/>
      <c r="X40" s="2450"/>
      <c r="Y40" s="2518"/>
    </row>
    <row r="41" spans="1:25" s="1" customFormat="1" ht="38.25" customHeight="1" x14ac:dyDescent="0.25">
      <c r="A41" s="30" t="s">
        <v>2168</v>
      </c>
      <c r="B41" s="1709">
        <v>100</v>
      </c>
      <c r="C41" s="1709" t="s">
        <v>17</v>
      </c>
      <c r="D41" s="1709" t="s">
        <v>1677</v>
      </c>
      <c r="E41" s="28" t="s">
        <v>17</v>
      </c>
      <c r="F41" s="29">
        <f>ROUND(93*(1-E87),2)</f>
        <v>93</v>
      </c>
      <c r="G41" s="29">
        <f>ROUND(67*(1-F87),2)</f>
        <v>67</v>
      </c>
      <c r="H41" s="29" t="s">
        <v>17</v>
      </c>
      <c r="I41" s="29" t="s">
        <v>17</v>
      </c>
      <c r="J41" s="29" t="s">
        <v>17</v>
      </c>
      <c r="K41" s="29" t="s">
        <v>17</v>
      </c>
      <c r="L41" s="29">
        <f>ROUND(63*(1-K87),2)</f>
        <v>63</v>
      </c>
      <c r="M41" s="29" t="s">
        <v>17</v>
      </c>
      <c r="N41" s="29" t="s">
        <v>17</v>
      </c>
      <c r="O41" s="29" t="s">
        <v>17</v>
      </c>
      <c r="P41" s="29">
        <f>ROUND(66*(1-P87),2)</f>
        <v>66</v>
      </c>
      <c r="Q41" s="2448" t="s">
        <v>17</v>
      </c>
      <c r="R41" s="2478"/>
      <c r="S41" s="2478"/>
      <c r="T41" s="2478"/>
      <c r="U41" s="2478"/>
      <c r="V41" s="2478"/>
      <c r="W41" s="2478"/>
      <c r="X41" s="2478"/>
      <c r="Y41" s="2479"/>
    </row>
    <row r="42" spans="1:25" s="25" customFormat="1" ht="38.25" customHeight="1" x14ac:dyDescent="0.25">
      <c r="A42" s="26" t="s">
        <v>2165</v>
      </c>
      <c r="B42" s="1709">
        <v>100</v>
      </c>
      <c r="C42" s="1709" t="s">
        <v>17</v>
      </c>
      <c r="D42" s="1709" t="s">
        <v>1677</v>
      </c>
      <c r="E42" s="28" t="s">
        <v>17</v>
      </c>
      <c r="F42" s="2340">
        <f>ROUND(93*(1-E87),2)</f>
        <v>93</v>
      </c>
      <c r="G42" s="2340">
        <f>ROUND(67*(1-F87),2)</f>
        <v>67</v>
      </c>
      <c r="H42" s="2340" t="s">
        <v>17</v>
      </c>
      <c r="I42" s="2340" t="s">
        <v>17</v>
      </c>
      <c r="J42" s="2340" t="s">
        <v>17</v>
      </c>
      <c r="K42" s="2340" t="s">
        <v>17</v>
      </c>
      <c r="L42" s="2340">
        <f>ROUND(63*(1-K87),2)</f>
        <v>63</v>
      </c>
      <c r="M42" s="2211" t="s">
        <v>17</v>
      </c>
      <c r="N42" s="2211" t="s">
        <v>17</v>
      </c>
      <c r="O42" s="2211" t="s">
        <v>17</v>
      </c>
      <c r="P42" s="2211">
        <f>ROUND(66*(1-P87),2)</f>
        <v>66</v>
      </c>
      <c r="Q42" s="2448" t="s">
        <v>17</v>
      </c>
      <c r="R42" s="2478"/>
      <c r="S42" s="2478"/>
      <c r="T42" s="2478"/>
      <c r="U42" s="2478"/>
      <c r="V42" s="2478"/>
      <c r="W42" s="2478"/>
      <c r="X42" s="2478"/>
      <c r="Y42" s="2479"/>
    </row>
    <row r="43" spans="1:25" s="25" customFormat="1" ht="38.25" customHeight="1" x14ac:dyDescent="0.25">
      <c r="A43" s="30" t="s">
        <v>2166</v>
      </c>
      <c r="B43" s="1709">
        <v>100</v>
      </c>
      <c r="C43" s="1709" t="s">
        <v>17</v>
      </c>
      <c r="D43" s="1709" t="s">
        <v>1677</v>
      </c>
      <c r="E43" s="28" t="s">
        <v>17</v>
      </c>
      <c r="F43" s="29">
        <f>ROUND(96*(1-E87),2)</f>
        <v>96</v>
      </c>
      <c r="G43" s="29">
        <f>ROUND(70*(1-F87),2)</f>
        <v>70</v>
      </c>
      <c r="H43" s="29" t="s">
        <v>17</v>
      </c>
      <c r="I43" s="29" t="s">
        <v>17</v>
      </c>
      <c r="J43" s="29" t="s">
        <v>17</v>
      </c>
      <c r="K43" s="29" t="s">
        <v>17</v>
      </c>
      <c r="L43" s="29">
        <f>ROUND(66*(1-K87),2)</f>
        <v>66</v>
      </c>
      <c r="M43" s="29" t="s">
        <v>17</v>
      </c>
      <c r="N43" s="29" t="s">
        <v>17</v>
      </c>
      <c r="O43" s="29" t="s">
        <v>17</v>
      </c>
      <c r="P43" s="29">
        <f>ROUND(69*(1-P87),2)</f>
        <v>69</v>
      </c>
      <c r="Q43" s="2448" t="s">
        <v>17</v>
      </c>
      <c r="R43" s="2478"/>
      <c r="S43" s="2478"/>
      <c r="T43" s="2478"/>
      <c r="U43" s="2478"/>
      <c r="V43" s="2478"/>
      <c r="W43" s="2478"/>
      <c r="X43" s="2478"/>
      <c r="Y43" s="2479"/>
    </row>
    <row r="44" spans="1:25" s="25" customFormat="1" ht="38.25" customHeight="1" x14ac:dyDescent="0.25">
      <c r="A44" s="26" t="s">
        <v>2167</v>
      </c>
      <c r="B44" s="1709">
        <v>100</v>
      </c>
      <c r="C44" s="1709" t="s">
        <v>17</v>
      </c>
      <c r="D44" s="1709" t="s">
        <v>1677</v>
      </c>
      <c r="E44" s="28" t="s">
        <v>17</v>
      </c>
      <c r="F44" s="2341">
        <f>ROUND(96*(1-E87),2)</f>
        <v>96</v>
      </c>
      <c r="G44" s="2341">
        <f>ROUND(70*(1-F87),2)</f>
        <v>70</v>
      </c>
      <c r="H44" s="2340" t="s">
        <v>17</v>
      </c>
      <c r="I44" s="2341" t="s">
        <v>17</v>
      </c>
      <c r="J44" s="2341" t="s">
        <v>17</v>
      </c>
      <c r="K44" s="2341" t="s">
        <v>17</v>
      </c>
      <c r="L44" s="2341">
        <f>ROUND(66*(1-K87),2)</f>
        <v>66</v>
      </c>
      <c r="M44" s="2211" t="s">
        <v>17</v>
      </c>
      <c r="N44" s="2211" t="s">
        <v>17</v>
      </c>
      <c r="O44" s="2211" t="s">
        <v>17</v>
      </c>
      <c r="P44" s="2211">
        <f>ROUND(69*(1-P87),2)</f>
        <v>69</v>
      </c>
      <c r="Q44" s="2448" t="s">
        <v>17</v>
      </c>
      <c r="R44" s="2478"/>
      <c r="S44" s="2478"/>
      <c r="T44" s="2478"/>
      <c r="U44" s="2478"/>
      <c r="V44" s="2478"/>
      <c r="W44" s="2478"/>
      <c r="X44" s="2478"/>
      <c r="Y44" s="2479"/>
    </row>
    <row r="45" spans="1:25" s="25" customFormat="1" ht="38.25" customHeight="1" x14ac:dyDescent="0.25">
      <c r="A45" s="30" t="s">
        <v>2170</v>
      </c>
      <c r="B45" s="1709">
        <v>128</v>
      </c>
      <c r="C45" s="1709" t="s">
        <v>17</v>
      </c>
      <c r="D45" s="1709" t="s">
        <v>1677</v>
      </c>
      <c r="E45" s="31" t="s">
        <v>17</v>
      </c>
      <c r="F45" s="2447" t="str">
        <f>ROUND(86*(1-O87),2)&amp;" руб./п.м. в покрытии Pе 0,45"</f>
        <v>86 руб./п.м. в покрытии Pе 0,45</v>
      </c>
      <c r="G45" s="2447"/>
      <c r="H45" s="2447"/>
      <c r="I45" s="2447" t="str">
        <f>ROUND(91*(1-O87),2)&amp;" руб./п.м. в покрытии Pе 0,45 двс"</f>
        <v>91 руб./п.м. в покрытии Pе 0,45 двс</v>
      </c>
      <c r="J45" s="2447"/>
      <c r="K45" s="2447"/>
      <c r="L45" s="2447"/>
      <c r="M45" s="2448" t="str">
        <f>ROUND(185*(1-P87),2)&amp;" руб./п.м.  в покрытии Print 0,45 двс"</f>
        <v>185 руб./п.м.  в покрытии Print 0,45 двс</v>
      </c>
      <c r="N45" s="2478"/>
      <c r="O45" s="2478"/>
      <c r="P45" s="2479"/>
      <c r="Q45" s="2448" t="s">
        <v>17</v>
      </c>
      <c r="R45" s="2478"/>
      <c r="S45" s="2478"/>
      <c r="T45" s="2478"/>
      <c r="U45" s="2478"/>
      <c r="V45" s="2478"/>
      <c r="W45" s="2478"/>
      <c r="X45" s="2478"/>
      <c r="Y45" s="2479"/>
    </row>
    <row r="46" spans="1:25" s="25" customFormat="1" ht="38.25" customHeight="1" x14ac:dyDescent="0.25">
      <c r="A46" s="26" t="s">
        <v>2171</v>
      </c>
      <c r="B46" s="1709">
        <v>118</v>
      </c>
      <c r="C46" s="1709" t="s">
        <v>17</v>
      </c>
      <c r="D46" s="1709" t="s">
        <v>1677</v>
      </c>
      <c r="E46" s="31" t="s">
        <v>17</v>
      </c>
      <c r="F46" s="2447" t="str">
        <f>ROUND(86*(1-O87),2)&amp;" руб./п.м. в покрытии Pе 0,45"</f>
        <v>86 руб./п.м. в покрытии Pе 0,45</v>
      </c>
      <c r="G46" s="2447"/>
      <c r="H46" s="2447"/>
      <c r="I46" s="2447" t="str">
        <f>ROUND(91*(1-O87),2)&amp;" руб./п.м. в покрытии Pе 0,45 двс"</f>
        <v>91 руб./п.м. в покрытии Pе 0,45 двс</v>
      </c>
      <c r="J46" s="2447"/>
      <c r="K46" s="2447"/>
      <c r="L46" s="2447"/>
      <c r="M46" s="2448" t="str">
        <f>ROUND(185*(1-P87),2)&amp;" руб./п.м.  в покрытии Print 0,45 двс"</f>
        <v>185 руб./п.м.  в покрытии Print 0,45 двс</v>
      </c>
      <c r="N46" s="2478"/>
      <c r="O46" s="2478"/>
      <c r="P46" s="2479"/>
      <c r="Q46" s="2448" t="s">
        <v>17</v>
      </c>
      <c r="R46" s="2478"/>
      <c r="S46" s="2478"/>
      <c r="T46" s="2478"/>
      <c r="U46" s="2478"/>
      <c r="V46" s="2478"/>
      <c r="W46" s="2478"/>
      <c r="X46" s="2478"/>
      <c r="Y46" s="2479"/>
    </row>
    <row r="47" spans="1:25" s="25" customFormat="1" ht="38.25" customHeight="1" x14ac:dyDescent="0.25">
      <c r="A47" s="30" t="s">
        <v>2172</v>
      </c>
      <c r="B47" s="1709">
        <v>128</v>
      </c>
      <c r="C47" s="1709" t="s">
        <v>17</v>
      </c>
      <c r="D47" s="1709" t="s">
        <v>1677</v>
      </c>
      <c r="E47" s="31" t="s">
        <v>17</v>
      </c>
      <c r="F47" s="2447" t="str">
        <f>ROUND(89*(1-O87),2)&amp;" руб./п.м. в покрытии Pе 0,45"</f>
        <v>89 руб./п.м. в покрытии Pе 0,45</v>
      </c>
      <c r="G47" s="2447"/>
      <c r="H47" s="2447"/>
      <c r="I47" s="2447" t="str">
        <f>ROUND(94*(1-O87),2)&amp;" руб./п.м.  в покрытии Pе 0,45 двс"</f>
        <v>94 руб./п.м.  в покрытии Pе 0,45 двс</v>
      </c>
      <c r="J47" s="2447"/>
      <c r="K47" s="2447"/>
      <c r="L47" s="2447"/>
      <c r="M47" s="2448" t="str">
        <f>ROUND(188*(1-P87),2)&amp;" руб./п.м.  в покрытии Print 0,45 двс"</f>
        <v>188 руб./п.м.  в покрытии Print 0,45 двс</v>
      </c>
      <c r="N47" s="2478"/>
      <c r="O47" s="2478"/>
      <c r="P47" s="2479"/>
      <c r="Q47" s="2448" t="s">
        <v>17</v>
      </c>
      <c r="R47" s="2478"/>
      <c r="S47" s="2478"/>
      <c r="T47" s="2478"/>
      <c r="U47" s="2478"/>
      <c r="V47" s="2478"/>
      <c r="W47" s="2478"/>
      <c r="X47" s="2478"/>
      <c r="Y47" s="2479"/>
    </row>
    <row r="48" spans="1:25" s="25" customFormat="1" ht="38.25" customHeight="1" x14ac:dyDescent="0.25">
      <c r="A48" s="26" t="s">
        <v>2169</v>
      </c>
      <c r="B48" s="1709">
        <v>118</v>
      </c>
      <c r="C48" s="1709" t="s">
        <v>17</v>
      </c>
      <c r="D48" s="1709" t="s">
        <v>1677</v>
      </c>
      <c r="E48" s="31" t="s">
        <v>17</v>
      </c>
      <c r="F48" s="2447" t="str">
        <f>ROUND(89*(1-O87),2)&amp;" руб./п.м. в покрытии Pе 0,45"</f>
        <v>89 руб./п.м. в покрытии Pе 0,45</v>
      </c>
      <c r="G48" s="2447"/>
      <c r="H48" s="2447"/>
      <c r="I48" s="2447" t="str">
        <f>ROUND(94*(1-O87),2)&amp;" руб./п.м.  в покрытии Pе 0,45 двс"</f>
        <v>94 руб./п.м.  в покрытии Pе 0,45 двс</v>
      </c>
      <c r="J48" s="2447"/>
      <c r="K48" s="2447"/>
      <c r="L48" s="2447"/>
      <c r="M48" s="2448" t="str">
        <f>ROUND(188*(1-P87),2)&amp;" руб./п.м.  в покрытии Print 0,45 двс"</f>
        <v>188 руб./п.м.  в покрытии Print 0,45 двс</v>
      </c>
      <c r="N48" s="2478"/>
      <c r="O48" s="2478"/>
      <c r="P48" s="2479"/>
      <c r="Q48" s="2448" t="s">
        <v>17</v>
      </c>
      <c r="R48" s="2478"/>
      <c r="S48" s="2478"/>
      <c r="T48" s="2478"/>
      <c r="U48" s="2478"/>
      <c r="V48" s="2478"/>
      <c r="W48" s="2478"/>
      <c r="X48" s="2478"/>
      <c r="Y48" s="2479"/>
    </row>
    <row r="49" spans="1:25" s="1" customFormat="1" ht="29.25" customHeight="1" x14ac:dyDescent="0.25">
      <c r="A49" s="2449" t="s">
        <v>1768</v>
      </c>
      <c r="B49" s="2450"/>
      <c r="C49" s="2450"/>
      <c r="D49" s="2450"/>
      <c r="E49" s="2450"/>
      <c r="F49" s="2450"/>
      <c r="G49" s="2450"/>
      <c r="H49" s="2450"/>
      <c r="I49" s="2450"/>
      <c r="J49" s="2450"/>
      <c r="K49" s="2450"/>
      <c r="L49" s="2450"/>
      <c r="M49" s="2450"/>
      <c r="N49" s="2450"/>
      <c r="O49" s="2450"/>
      <c r="P49" s="2450"/>
      <c r="Q49" s="2450"/>
      <c r="R49" s="2450"/>
      <c r="S49" s="2450"/>
      <c r="T49" s="2450"/>
      <c r="U49" s="2450"/>
      <c r="V49" s="2450"/>
      <c r="W49" s="2450"/>
      <c r="X49" s="2450"/>
      <c r="Y49" s="2518"/>
    </row>
    <row r="50" spans="1:25" s="1" customFormat="1" ht="35.25" customHeight="1" x14ac:dyDescent="0.25">
      <c r="A50" s="2451" t="s">
        <v>3425</v>
      </c>
      <c r="B50" s="2451"/>
      <c r="C50" s="2451"/>
      <c r="D50" s="2451"/>
      <c r="E50" s="2451"/>
      <c r="F50" s="2448">
        <v>150</v>
      </c>
      <c r="G50" s="2478"/>
      <c r="H50" s="2478"/>
      <c r="I50" s="2478"/>
      <c r="J50" s="2478"/>
      <c r="K50" s="2478"/>
      <c r="L50" s="2478"/>
      <c r="M50" s="2478"/>
      <c r="N50" s="2478"/>
      <c r="O50" s="2478"/>
      <c r="P50" s="2478"/>
      <c r="Q50" s="2478"/>
      <c r="R50" s="2478"/>
      <c r="S50" s="2478"/>
      <c r="T50" s="2478"/>
      <c r="U50" s="2478"/>
      <c r="V50" s="2478"/>
      <c r="W50" s="2478"/>
      <c r="X50" s="2478"/>
      <c r="Y50" s="2479"/>
    </row>
    <row r="51" spans="1:25" s="1" customFormat="1" ht="38.25" customHeight="1" x14ac:dyDescent="0.25">
      <c r="A51" s="2451" t="s">
        <v>1656</v>
      </c>
      <c r="B51" s="2451"/>
      <c r="C51" s="2451"/>
      <c r="D51" s="2451"/>
      <c r="E51" s="2451"/>
      <c r="F51" s="2448">
        <v>300</v>
      </c>
      <c r="G51" s="2478"/>
      <c r="H51" s="2478"/>
      <c r="I51" s="2478"/>
      <c r="J51" s="2478"/>
      <c r="K51" s="2478"/>
      <c r="L51" s="2478"/>
      <c r="M51" s="2478"/>
      <c r="N51" s="2478"/>
      <c r="O51" s="2478"/>
      <c r="P51" s="2478"/>
      <c r="Q51" s="2478"/>
      <c r="R51" s="2478"/>
      <c r="S51" s="2478"/>
      <c r="T51" s="2478"/>
      <c r="U51" s="2478"/>
      <c r="V51" s="2478"/>
      <c r="W51" s="2478"/>
      <c r="X51" s="2478"/>
      <c r="Y51" s="2479"/>
    </row>
    <row r="52" spans="1:25" s="25" customFormat="1" ht="38.25" customHeight="1" x14ac:dyDescent="0.25">
      <c r="A52" s="2451" t="s">
        <v>1704</v>
      </c>
      <c r="B52" s="2451"/>
      <c r="C52" s="2451"/>
      <c r="D52" s="2451"/>
      <c r="E52" s="2451"/>
      <c r="F52" s="2448">
        <v>2200</v>
      </c>
      <c r="G52" s="2478"/>
      <c r="H52" s="2478"/>
      <c r="I52" s="2478"/>
      <c r="J52" s="2478"/>
      <c r="K52" s="2478"/>
      <c r="L52" s="2478"/>
      <c r="M52" s="2478"/>
      <c r="N52" s="2478"/>
      <c r="O52" s="2478"/>
      <c r="P52" s="2478"/>
      <c r="Q52" s="2478"/>
      <c r="R52" s="2478"/>
      <c r="S52" s="2478"/>
      <c r="T52" s="2478"/>
      <c r="U52" s="2478"/>
      <c r="V52" s="2478"/>
      <c r="W52" s="2478"/>
      <c r="X52" s="2478"/>
      <c r="Y52" s="2479"/>
    </row>
    <row r="53" spans="1:25" s="25" customFormat="1" ht="38.25" customHeight="1" x14ac:dyDescent="0.25">
      <c r="A53" s="2451" t="s">
        <v>1705</v>
      </c>
      <c r="B53" s="2451"/>
      <c r="C53" s="2451"/>
      <c r="D53" s="2451"/>
      <c r="E53" s="2451"/>
      <c r="F53" s="2448">
        <v>400</v>
      </c>
      <c r="G53" s="2478"/>
      <c r="H53" s="2478"/>
      <c r="I53" s="2478"/>
      <c r="J53" s="2478"/>
      <c r="K53" s="2478"/>
      <c r="L53" s="2478"/>
      <c r="M53" s="2478"/>
      <c r="N53" s="2478"/>
      <c r="O53" s="2478"/>
      <c r="P53" s="2478"/>
      <c r="Q53" s="2478"/>
      <c r="R53" s="2478"/>
      <c r="S53" s="2478"/>
      <c r="T53" s="2478"/>
      <c r="U53" s="2478"/>
      <c r="V53" s="2478"/>
      <c r="W53" s="2478"/>
      <c r="X53" s="2478"/>
      <c r="Y53" s="2479"/>
    </row>
    <row r="54" spans="1:25" s="25" customFormat="1" ht="38.25" customHeight="1" x14ac:dyDescent="0.25">
      <c r="A54" s="2451" t="s">
        <v>2116</v>
      </c>
      <c r="B54" s="2451"/>
      <c r="C54" s="2451"/>
      <c r="D54" s="2451"/>
      <c r="E54" s="2451"/>
      <c r="F54" s="2448">
        <v>1980</v>
      </c>
      <c r="G54" s="2478"/>
      <c r="H54" s="2478"/>
      <c r="I54" s="2478"/>
      <c r="J54" s="2478"/>
      <c r="K54" s="2478"/>
      <c r="L54" s="2478"/>
      <c r="M54" s="2478"/>
      <c r="N54" s="2478"/>
      <c r="O54" s="2478"/>
      <c r="P54" s="2478"/>
      <c r="Q54" s="2478"/>
      <c r="R54" s="2478"/>
      <c r="S54" s="2478"/>
      <c r="T54" s="2478"/>
      <c r="U54" s="2478"/>
      <c r="V54" s="2478"/>
      <c r="W54" s="2478"/>
      <c r="X54" s="2478"/>
      <c r="Y54" s="2479"/>
    </row>
    <row r="55" spans="1:25" s="25" customFormat="1" ht="38.25" customHeight="1" x14ac:dyDescent="0.25">
      <c r="A55" s="2451" t="s">
        <v>1820</v>
      </c>
      <c r="B55" s="2451"/>
      <c r="C55" s="2451"/>
      <c r="D55" s="2451"/>
      <c r="E55" s="2451"/>
      <c r="F55" s="2448">
        <v>95</v>
      </c>
      <c r="G55" s="2478"/>
      <c r="H55" s="2478"/>
      <c r="I55" s="2478"/>
      <c r="J55" s="2478"/>
      <c r="K55" s="2478"/>
      <c r="L55" s="2478"/>
      <c r="M55" s="2478"/>
      <c r="N55" s="2478"/>
      <c r="O55" s="2478"/>
      <c r="P55" s="2478"/>
      <c r="Q55" s="2478"/>
      <c r="R55" s="2478"/>
      <c r="S55" s="2478"/>
      <c r="T55" s="2478"/>
      <c r="U55" s="2478"/>
      <c r="V55" s="2478"/>
      <c r="W55" s="2478"/>
      <c r="X55" s="2478"/>
      <c r="Y55" s="2479"/>
    </row>
    <row r="56" spans="1:25" s="25" customFormat="1" ht="34.5" customHeight="1" x14ac:dyDescent="0.25">
      <c r="A56" s="2451" t="s">
        <v>1707</v>
      </c>
      <c r="B56" s="2451"/>
      <c r="C56" s="2451"/>
      <c r="D56" s="2451"/>
      <c r="E56" s="2451"/>
      <c r="F56" s="2448">
        <v>160</v>
      </c>
      <c r="G56" s="2478"/>
      <c r="H56" s="2478"/>
      <c r="I56" s="2478"/>
      <c r="J56" s="2478"/>
      <c r="K56" s="2478"/>
      <c r="L56" s="2478"/>
      <c r="M56" s="2478"/>
      <c r="N56" s="2478"/>
      <c r="O56" s="2478"/>
      <c r="P56" s="2478"/>
      <c r="Q56" s="2478"/>
      <c r="R56" s="2478"/>
      <c r="S56" s="2478"/>
      <c r="T56" s="2478"/>
      <c r="U56" s="2478"/>
      <c r="V56" s="2478"/>
      <c r="W56" s="2478"/>
      <c r="X56" s="2478"/>
      <c r="Y56" s="2479"/>
    </row>
    <row r="57" spans="1:25" s="25" customFormat="1" ht="34.5" customHeight="1" x14ac:dyDescent="0.25">
      <c r="A57" s="2451" t="s">
        <v>41</v>
      </c>
      <c r="B57" s="2451"/>
      <c r="C57" s="2451"/>
      <c r="D57" s="2451"/>
      <c r="E57" s="2451"/>
      <c r="F57" s="2448">
        <v>15</v>
      </c>
      <c r="G57" s="2478"/>
      <c r="H57" s="2478"/>
      <c r="I57" s="2478"/>
      <c r="J57" s="2478"/>
      <c r="K57" s="2478"/>
      <c r="L57" s="2478"/>
      <c r="M57" s="2478"/>
      <c r="N57" s="2478"/>
      <c r="O57" s="2478"/>
      <c r="P57" s="2478"/>
      <c r="Q57" s="2478"/>
      <c r="R57" s="2478"/>
      <c r="S57" s="2478"/>
      <c r="T57" s="2478"/>
      <c r="U57" s="2478"/>
      <c r="V57" s="2478"/>
      <c r="W57" s="2478"/>
      <c r="X57" s="2478"/>
      <c r="Y57" s="2479"/>
    </row>
    <row r="58" spans="1:25" s="1" customFormat="1" ht="26.25" x14ac:dyDescent="0.25">
      <c r="A58" s="32" t="s">
        <v>42</v>
      </c>
    </row>
    <row r="59" spans="1:25" s="1" customFormat="1" ht="50.25" customHeight="1" x14ac:dyDescent="0.25">
      <c r="A59" s="32" t="s">
        <v>93</v>
      </c>
      <c r="B59" s="33"/>
      <c r="C59" s="33"/>
      <c r="D59" s="33"/>
      <c r="E59" s="33"/>
      <c r="F59" s="33"/>
      <c r="G59" s="33"/>
      <c r="H59" s="33"/>
      <c r="I59" s="33"/>
      <c r="J59" s="33"/>
      <c r="K59" s="33"/>
      <c r="L59" s="33"/>
      <c r="M59" s="12"/>
      <c r="N59" s="12"/>
      <c r="O59" s="12"/>
      <c r="P59" s="2524" t="s">
        <v>2862</v>
      </c>
      <c r="Q59" s="2524"/>
      <c r="R59" s="2524"/>
      <c r="S59" s="2524"/>
      <c r="T59" s="2524"/>
      <c r="U59" s="2524"/>
      <c r="V59" s="2524"/>
      <c r="W59" s="2524"/>
      <c r="X59" s="2524"/>
      <c r="Y59" s="2524"/>
    </row>
    <row r="60" spans="1:25" s="1" customFormat="1" ht="26.25" customHeight="1" x14ac:dyDescent="0.25">
      <c r="A60" s="34" t="s">
        <v>94</v>
      </c>
      <c r="B60" s="33"/>
      <c r="C60" s="33"/>
      <c r="D60" s="33"/>
      <c r="E60" s="33"/>
      <c r="F60" s="33"/>
      <c r="G60" s="33"/>
      <c r="H60" s="33"/>
      <c r="I60" s="33"/>
      <c r="J60" s="33"/>
      <c r="K60" s="33"/>
      <c r="L60" s="33"/>
      <c r="M60" s="12"/>
      <c r="N60" s="12"/>
      <c r="O60" s="12"/>
      <c r="P60" s="2571" t="s">
        <v>43</v>
      </c>
      <c r="Q60" s="2572"/>
      <c r="R60" s="2572"/>
      <c r="S60" s="2531" t="s">
        <v>44</v>
      </c>
      <c r="T60" s="2532"/>
      <c r="U60" s="2532"/>
      <c r="V60" s="2532"/>
      <c r="W60" s="2532"/>
      <c r="X60" s="2532"/>
      <c r="Y60" s="2533"/>
    </row>
    <row r="61" spans="1:25" s="1" customFormat="1" ht="24" customHeight="1" x14ac:dyDescent="0.25">
      <c r="A61" s="1859"/>
      <c r="B61" s="32"/>
      <c r="C61" s="32"/>
      <c r="D61" s="32"/>
      <c r="E61" s="33"/>
      <c r="F61" s="33"/>
      <c r="G61" s="33"/>
      <c r="H61" s="33"/>
      <c r="I61" s="33"/>
      <c r="J61" s="33"/>
      <c r="K61" s="33"/>
      <c r="L61" s="33"/>
      <c r="M61" s="12"/>
      <c r="N61" s="12"/>
      <c r="O61" s="12"/>
      <c r="P61" s="2571" t="s">
        <v>45</v>
      </c>
      <c r="Q61" s="2572"/>
      <c r="R61" s="2572"/>
      <c r="S61" s="2531" t="s">
        <v>46</v>
      </c>
      <c r="T61" s="2532"/>
      <c r="U61" s="2532"/>
      <c r="V61" s="2532"/>
      <c r="W61" s="2532"/>
      <c r="X61" s="2532"/>
      <c r="Y61" s="2533"/>
    </row>
    <row r="62" spans="1:25" s="1" customFormat="1" ht="27" customHeight="1" x14ac:dyDescent="0.25">
      <c r="A62" s="38" t="s">
        <v>95</v>
      </c>
      <c r="B62" s="34"/>
      <c r="C62" s="34"/>
      <c r="D62" s="34"/>
      <c r="E62" s="34"/>
      <c r="F62" s="34"/>
      <c r="G62" s="34"/>
      <c r="H62" s="34"/>
      <c r="I62" s="34"/>
      <c r="J62" s="34"/>
      <c r="K62" s="34"/>
      <c r="L62" s="34"/>
      <c r="M62" s="12"/>
      <c r="N62" s="12"/>
      <c r="O62" s="12"/>
      <c r="P62" s="2571" t="s">
        <v>47</v>
      </c>
      <c r="Q62" s="2573"/>
      <c r="R62" s="2574"/>
      <c r="S62" s="2531" t="s">
        <v>48</v>
      </c>
      <c r="T62" s="2532"/>
      <c r="U62" s="2532"/>
      <c r="V62" s="2532"/>
      <c r="W62" s="2532"/>
      <c r="X62" s="2532"/>
      <c r="Y62" s="2533"/>
    </row>
    <row r="63" spans="1:25" s="25" customFormat="1" ht="26.25" customHeight="1" x14ac:dyDescent="0.25">
      <c r="A63" s="38" t="s">
        <v>3192</v>
      </c>
      <c r="B63" s="32"/>
      <c r="C63" s="32"/>
      <c r="D63" s="32"/>
      <c r="E63" s="36"/>
      <c r="F63" s="36"/>
      <c r="G63" s="36"/>
      <c r="H63" s="36"/>
      <c r="I63" s="36"/>
      <c r="J63" s="36"/>
      <c r="K63" s="36"/>
      <c r="L63" s="36"/>
      <c r="M63" s="35"/>
      <c r="N63" s="35"/>
      <c r="O63" s="35"/>
      <c r="P63" s="2571" t="s">
        <v>49</v>
      </c>
      <c r="Q63" s="2573"/>
      <c r="R63" s="2574"/>
      <c r="S63" s="2531" t="s">
        <v>50</v>
      </c>
      <c r="T63" s="2532"/>
      <c r="U63" s="2532"/>
      <c r="V63" s="2532"/>
      <c r="W63" s="2532"/>
      <c r="X63" s="2532"/>
      <c r="Y63" s="2533"/>
    </row>
    <row r="64" spans="1:25" s="25" customFormat="1" ht="26.25" customHeight="1" x14ac:dyDescent="0.25">
      <c r="A64" s="38" t="s">
        <v>96</v>
      </c>
      <c r="B64" s="32"/>
      <c r="C64" s="32"/>
      <c r="D64" s="32"/>
      <c r="E64" s="36"/>
      <c r="F64" s="36"/>
      <c r="G64" s="36"/>
      <c r="H64" s="36"/>
      <c r="I64" s="36"/>
      <c r="J64" s="36"/>
      <c r="K64" s="36"/>
      <c r="L64" s="36"/>
      <c r="M64" s="35"/>
      <c r="N64" s="35"/>
      <c r="O64" s="35"/>
      <c r="P64" s="2576" t="s">
        <v>2331</v>
      </c>
      <c r="Q64" s="2576"/>
      <c r="R64" s="2576"/>
      <c r="S64" s="2576"/>
      <c r="T64" s="2576"/>
      <c r="U64" s="2576"/>
      <c r="V64" s="2576"/>
      <c r="W64" s="2576"/>
      <c r="X64" s="2576"/>
      <c r="Y64" s="2576"/>
    </row>
    <row r="65" spans="1:25" s="25" customFormat="1" ht="26.25" customHeight="1" x14ac:dyDescent="0.25">
      <c r="A65" s="38"/>
      <c r="B65" s="32"/>
      <c r="C65" s="32"/>
      <c r="D65" s="32"/>
      <c r="E65" s="36"/>
      <c r="F65" s="36"/>
      <c r="G65" s="36"/>
      <c r="H65" s="36"/>
      <c r="I65" s="36"/>
      <c r="J65" s="36"/>
      <c r="K65" s="36"/>
      <c r="L65" s="36"/>
      <c r="M65" s="35"/>
      <c r="N65" s="35"/>
      <c r="O65" s="35"/>
      <c r="P65" s="2575" t="s">
        <v>2332</v>
      </c>
      <c r="Q65" s="2575"/>
      <c r="R65" s="2575"/>
      <c r="S65" s="2575"/>
      <c r="T65" s="2575"/>
      <c r="U65" s="2575"/>
      <c r="V65" s="2575"/>
      <c r="W65" s="2575"/>
      <c r="X65" s="2575"/>
      <c r="Y65" s="2575"/>
    </row>
    <row r="66" spans="1:25" s="25" customFormat="1" ht="27" x14ac:dyDescent="0.25">
      <c r="A66" s="1585" t="s">
        <v>2330</v>
      </c>
      <c r="B66" s="32"/>
      <c r="C66" s="32"/>
      <c r="D66" s="32"/>
      <c r="E66" s="36"/>
      <c r="F66" s="36"/>
      <c r="G66" s="36"/>
      <c r="H66" s="36"/>
      <c r="I66" s="36"/>
      <c r="J66" s="36"/>
      <c r="K66" s="36"/>
      <c r="L66" s="36"/>
      <c r="M66" s="35"/>
      <c r="N66" s="35"/>
      <c r="O66" s="35"/>
      <c r="P66" s="1039"/>
      <c r="Q66" s="1039"/>
      <c r="R66" s="1039"/>
      <c r="S66" s="1039"/>
      <c r="T66" s="1039"/>
      <c r="U66" s="1039"/>
      <c r="V66" s="1039"/>
      <c r="W66" s="1039"/>
      <c r="X66" s="1039"/>
      <c r="Y66" s="1039"/>
    </row>
    <row r="67" spans="1:25" s="25" customFormat="1" ht="27" x14ac:dyDescent="0.25">
      <c r="A67" s="1585" t="s">
        <v>2352</v>
      </c>
      <c r="B67" s="32"/>
      <c r="C67" s="32"/>
      <c r="D67" s="32"/>
      <c r="E67" s="36"/>
      <c r="F67" s="36"/>
      <c r="G67" s="36"/>
      <c r="H67" s="36"/>
      <c r="I67" s="36"/>
      <c r="J67" s="36"/>
      <c r="K67" s="36"/>
      <c r="L67" s="36"/>
      <c r="M67" s="35"/>
      <c r="N67" s="35"/>
      <c r="O67" s="35"/>
      <c r="P67" s="2355"/>
      <c r="Q67" s="2355"/>
      <c r="R67" s="2355"/>
      <c r="S67" s="2355"/>
      <c r="T67" s="2355"/>
      <c r="U67" s="2355"/>
      <c r="V67" s="2355"/>
      <c r="W67" s="2355"/>
      <c r="X67" s="2355"/>
      <c r="Y67" s="2355"/>
    </row>
    <row r="68" spans="1:25" s="25" customFormat="1" ht="27" x14ac:dyDescent="0.25">
      <c r="A68" s="38" t="s">
        <v>2245</v>
      </c>
      <c r="B68" s="32"/>
      <c r="C68" s="32"/>
      <c r="D68" s="32"/>
      <c r="E68" s="36"/>
      <c r="F68" s="36"/>
      <c r="G68" s="36"/>
      <c r="H68" s="36"/>
      <c r="I68" s="36"/>
      <c r="J68" s="36"/>
      <c r="K68" s="36"/>
      <c r="L68" s="36"/>
      <c r="M68" s="35"/>
      <c r="N68" s="35"/>
      <c r="O68" s="35"/>
      <c r="P68" s="911"/>
      <c r="Q68" s="911"/>
      <c r="R68" s="911"/>
      <c r="S68" s="911"/>
      <c r="T68" s="911"/>
      <c r="U68" s="911"/>
      <c r="V68" s="911"/>
      <c r="W68" s="911"/>
      <c r="X68" s="911"/>
      <c r="Y68" s="911"/>
    </row>
    <row r="69" spans="1:25" s="25" customFormat="1" ht="27" x14ac:dyDescent="0.25">
      <c r="A69" s="33" t="s">
        <v>2247</v>
      </c>
      <c r="B69" s="34"/>
      <c r="C69" s="34"/>
      <c r="D69" s="34"/>
      <c r="E69" s="37"/>
      <c r="F69" s="37"/>
      <c r="G69" s="37"/>
      <c r="H69" s="37"/>
      <c r="I69" s="37"/>
      <c r="J69" s="37"/>
      <c r="K69" s="37"/>
      <c r="L69" s="33"/>
      <c r="M69" s="35"/>
      <c r="N69" s="35"/>
      <c r="O69" s="35"/>
      <c r="P69" s="33" t="s">
        <v>51</v>
      </c>
      <c r="R69" s="34"/>
      <c r="S69" s="34"/>
      <c r="T69" s="34"/>
      <c r="U69" s="34"/>
      <c r="V69" s="34"/>
      <c r="X69" s="912"/>
      <c r="Y69" s="912"/>
    </row>
    <row r="70" spans="1:25" s="25" customFormat="1" ht="27" x14ac:dyDescent="0.25">
      <c r="A70" s="33" t="s">
        <v>3193</v>
      </c>
      <c r="B70" s="34"/>
      <c r="C70" s="34"/>
      <c r="D70" s="34"/>
      <c r="E70" s="37"/>
      <c r="F70" s="37"/>
      <c r="G70" s="37"/>
      <c r="H70" s="37"/>
      <c r="I70" s="37"/>
      <c r="J70" s="37"/>
      <c r="K70" s="37"/>
      <c r="L70" s="33"/>
      <c r="M70" s="35"/>
      <c r="N70" s="35"/>
      <c r="O70" s="35"/>
      <c r="P70" s="2553" t="s">
        <v>2262</v>
      </c>
      <c r="Q70" s="2554"/>
      <c r="R70" s="2555"/>
      <c r="S70" s="2453" t="s">
        <v>53</v>
      </c>
      <c r="T70" s="2454"/>
      <c r="U70" s="2454"/>
      <c r="V70" s="2455"/>
      <c r="W70" s="2453" t="s">
        <v>54</v>
      </c>
      <c r="X70" s="2454"/>
      <c r="Y70" s="2455"/>
    </row>
    <row r="71" spans="1:25" s="25" customFormat="1" ht="27" x14ac:dyDescent="0.25">
      <c r="B71" s="34"/>
      <c r="C71" s="34"/>
      <c r="D71" s="34"/>
      <c r="E71" s="37"/>
      <c r="F71" s="37"/>
      <c r="G71" s="37"/>
      <c r="H71" s="37"/>
      <c r="I71" s="37"/>
      <c r="J71" s="37"/>
      <c r="K71" s="37"/>
      <c r="L71" s="33"/>
      <c r="M71" s="35"/>
      <c r="N71" s="35"/>
      <c r="O71" s="35"/>
      <c r="P71" s="2456" t="s">
        <v>59</v>
      </c>
      <c r="Q71" s="2457"/>
      <c r="R71" s="2458"/>
      <c r="S71" s="2528" t="s">
        <v>60</v>
      </c>
      <c r="T71" s="2529"/>
      <c r="U71" s="2529"/>
      <c r="V71" s="2530"/>
      <c r="W71" s="2525" t="s">
        <v>61</v>
      </c>
      <c r="X71" s="2526"/>
      <c r="Y71" s="2527"/>
    </row>
    <row r="72" spans="1:25" s="25" customFormat="1" ht="27" x14ac:dyDescent="0.25">
      <c r="A72" s="33" t="s">
        <v>2465</v>
      </c>
      <c r="B72" s="34"/>
      <c r="C72" s="34"/>
      <c r="D72" s="34"/>
      <c r="E72" s="37"/>
      <c r="F72" s="37"/>
      <c r="G72" s="37"/>
      <c r="H72" s="37"/>
      <c r="I72" s="37"/>
      <c r="J72" s="37"/>
      <c r="K72" s="37"/>
      <c r="L72" s="33"/>
      <c r="M72" s="35"/>
      <c r="N72" s="35"/>
      <c r="O72" s="35"/>
      <c r="P72" s="2456" t="s">
        <v>55</v>
      </c>
      <c r="Q72" s="2457"/>
      <c r="R72" s="2458"/>
      <c r="S72" s="2550">
        <v>0.7</v>
      </c>
      <c r="T72" s="2551"/>
      <c r="U72" s="2551"/>
      <c r="V72" s="2552"/>
      <c r="W72" s="2556" t="s">
        <v>56</v>
      </c>
      <c r="X72" s="2557"/>
      <c r="Y72" s="2558"/>
    </row>
    <row r="73" spans="1:25" s="25" customFormat="1" ht="27" x14ac:dyDescent="0.25">
      <c r="A73" s="33" t="s">
        <v>2300</v>
      </c>
      <c r="B73" s="34"/>
      <c r="C73" s="34"/>
      <c r="D73" s="34"/>
      <c r="E73" s="37"/>
      <c r="F73" s="37"/>
      <c r="G73" s="37"/>
      <c r="H73" s="37"/>
      <c r="I73" s="37"/>
      <c r="J73" s="37"/>
      <c r="K73" s="37"/>
      <c r="L73" s="33"/>
      <c r="M73" s="35"/>
      <c r="N73" s="35"/>
      <c r="O73" s="35"/>
      <c r="P73" s="2456" t="s">
        <v>57</v>
      </c>
      <c r="Q73" s="2457"/>
      <c r="R73" s="2458"/>
      <c r="S73" s="2550">
        <v>0.3</v>
      </c>
      <c r="T73" s="2551"/>
      <c r="U73" s="2551"/>
      <c r="V73" s="2552"/>
      <c r="W73" s="2559"/>
      <c r="X73" s="2560"/>
      <c r="Y73" s="2561"/>
    </row>
    <row r="74" spans="1:25" s="25" customFormat="1" ht="27" x14ac:dyDescent="0.25">
      <c r="A74" s="33" t="s">
        <v>97</v>
      </c>
      <c r="B74" s="34"/>
      <c r="C74" s="34"/>
      <c r="D74" s="34"/>
      <c r="E74" s="36"/>
      <c r="F74" s="36"/>
      <c r="G74" s="36"/>
      <c r="H74" s="36"/>
      <c r="I74" s="36"/>
      <c r="J74" s="36"/>
      <c r="K74" s="36"/>
      <c r="L74" s="36"/>
      <c r="M74" s="35"/>
      <c r="N74" s="35"/>
      <c r="O74" s="35"/>
      <c r="P74" s="2456" t="s">
        <v>58</v>
      </c>
      <c r="Q74" s="2457"/>
      <c r="R74" s="2458"/>
      <c r="S74" s="2550">
        <v>0.15</v>
      </c>
      <c r="T74" s="2551"/>
      <c r="U74" s="2551"/>
      <c r="V74" s="2552"/>
      <c r="W74" s="2562"/>
      <c r="X74" s="2563"/>
      <c r="Y74" s="2564"/>
    </row>
    <row r="75" spans="1:25" s="25" customFormat="1" ht="27" x14ac:dyDescent="0.25">
      <c r="A75" s="33" t="s">
        <v>62</v>
      </c>
      <c r="B75" s="34"/>
      <c r="C75" s="34"/>
      <c r="D75" s="34"/>
      <c r="E75" s="37"/>
      <c r="F75" s="37"/>
      <c r="G75" s="37"/>
      <c r="H75" s="37"/>
      <c r="I75" s="37"/>
      <c r="J75" s="37"/>
      <c r="K75" s="37"/>
      <c r="L75" s="37"/>
      <c r="M75" s="35"/>
      <c r="N75" s="35"/>
      <c r="O75" s="35"/>
    </row>
    <row r="76" spans="1:25" s="25" customFormat="1" ht="27" x14ac:dyDescent="0.25">
      <c r="B76" s="34"/>
      <c r="C76" s="34"/>
      <c r="D76" s="34"/>
      <c r="E76" s="40"/>
      <c r="F76" s="40"/>
      <c r="G76" s="40"/>
      <c r="H76" s="40"/>
      <c r="I76" s="40"/>
      <c r="J76" s="40"/>
      <c r="K76" s="40"/>
      <c r="L76" s="40"/>
      <c r="M76" s="35"/>
      <c r="N76" s="35"/>
      <c r="O76" s="35"/>
    </row>
    <row r="77" spans="1:25" s="25" customFormat="1" ht="27" x14ac:dyDescent="0.25">
      <c r="A77" s="32" t="s">
        <v>2259</v>
      </c>
      <c r="B77" s="32"/>
      <c r="C77" s="32"/>
      <c r="D77" s="32"/>
      <c r="E77" s="42"/>
      <c r="F77" s="42"/>
      <c r="G77" s="42"/>
      <c r="H77" s="42"/>
      <c r="I77" s="42"/>
      <c r="J77" s="42"/>
      <c r="K77" s="42"/>
      <c r="L77" s="42"/>
      <c r="M77" s="35"/>
      <c r="N77" s="35"/>
      <c r="O77" s="35"/>
    </row>
    <row r="78" spans="1:25" s="25" customFormat="1" ht="26.25" x14ac:dyDescent="0.25">
      <c r="B78" s="32"/>
      <c r="C78" s="32"/>
      <c r="D78" s="32"/>
      <c r="E78" s="34"/>
      <c r="F78" s="34"/>
      <c r="G78" s="34"/>
      <c r="H78" s="34"/>
      <c r="I78" s="34"/>
      <c r="J78" s="34"/>
      <c r="K78" s="34"/>
      <c r="L78" s="34"/>
      <c r="M78" s="10"/>
      <c r="N78" s="39"/>
      <c r="O78" s="39"/>
    </row>
    <row r="79" spans="1:25" s="25" customFormat="1" ht="26.25" x14ac:dyDescent="0.25">
      <c r="B79" s="33"/>
      <c r="C79" s="33"/>
      <c r="D79" s="33"/>
      <c r="E79" s="34"/>
      <c r="F79" s="34"/>
      <c r="G79" s="34"/>
      <c r="H79" s="34"/>
      <c r="I79" s="34"/>
      <c r="J79" s="34"/>
      <c r="K79" s="34"/>
      <c r="L79" s="34"/>
      <c r="M79" s="44"/>
      <c r="N79" s="41"/>
      <c r="O79" s="41"/>
      <c r="Q79" s="16"/>
      <c r="R79" s="16"/>
      <c r="S79" s="16"/>
      <c r="T79" s="15"/>
      <c r="U79" s="15"/>
      <c r="V79" s="15"/>
      <c r="W79" s="15"/>
      <c r="X79" s="15"/>
      <c r="Y79" s="15"/>
    </row>
    <row r="80" spans="1:25" s="25" customFormat="1" ht="26.25" x14ac:dyDescent="0.25">
      <c r="B80" s="34"/>
      <c r="C80" s="34"/>
      <c r="D80" s="34"/>
      <c r="E80" s="46"/>
      <c r="F80" s="46"/>
      <c r="G80" s="46"/>
      <c r="H80" s="46"/>
      <c r="I80" s="46"/>
      <c r="J80" s="46"/>
      <c r="K80" s="46"/>
      <c r="L80" s="46"/>
      <c r="M80" s="45"/>
      <c r="N80" s="41"/>
      <c r="O80" s="41"/>
      <c r="Q80" s="17"/>
      <c r="R80" s="17"/>
      <c r="S80" s="17"/>
      <c r="T80" s="17"/>
      <c r="U80" s="17"/>
      <c r="V80" s="17"/>
      <c r="W80" s="19"/>
      <c r="X80" s="19"/>
      <c r="Y80" s="19"/>
    </row>
    <row r="81" spans="1:51" s="1" customFormat="1" ht="20.25" x14ac:dyDescent="0.25">
      <c r="P81" s="43"/>
    </row>
    <row r="82" spans="1:51" s="1" customFormat="1" ht="20.25" customHeight="1" x14ac:dyDescent="0.25">
      <c r="A82" s="2537" t="s">
        <v>66</v>
      </c>
      <c r="B82" s="2538"/>
      <c r="C82" s="2538"/>
      <c r="D82" s="2493"/>
      <c r="E82" s="2495" t="s">
        <v>3415</v>
      </c>
      <c r="F82" s="2493" t="s">
        <v>1847</v>
      </c>
      <c r="G82" s="2542" t="s">
        <v>2563</v>
      </c>
      <c r="H82" s="2543"/>
      <c r="I82" s="2496" t="s">
        <v>98</v>
      </c>
      <c r="J82" s="2497"/>
      <c r="K82" s="2497"/>
      <c r="L82" s="2497"/>
      <c r="M82" s="2497"/>
      <c r="N82" s="2497"/>
      <c r="O82" s="2497"/>
      <c r="P82" s="2513" t="s">
        <v>2540</v>
      </c>
      <c r="Q82" s="2513" t="s">
        <v>2532</v>
      </c>
      <c r="R82" s="2513" t="s">
        <v>2533</v>
      </c>
      <c r="S82" s="2541" t="s">
        <v>2541</v>
      </c>
      <c r="T82" s="2541" t="s">
        <v>2534</v>
      </c>
      <c r="U82" s="2513" t="s">
        <v>1681</v>
      </c>
      <c r="V82" s="2541" t="s">
        <v>2535</v>
      </c>
      <c r="W82" s="2541" t="s">
        <v>2536</v>
      </c>
      <c r="X82" s="2541" t="s">
        <v>2537</v>
      </c>
      <c r="Y82" s="2541" t="s">
        <v>2538</v>
      </c>
    </row>
    <row r="83" spans="1:51" s="1" customFormat="1" ht="50.25" customHeight="1" x14ac:dyDescent="0.25">
      <c r="A83" s="2539"/>
      <c r="B83" s="2540"/>
      <c r="C83" s="2540"/>
      <c r="D83" s="2494"/>
      <c r="E83" s="2495"/>
      <c r="F83" s="2494"/>
      <c r="G83" s="2544"/>
      <c r="H83" s="2545"/>
      <c r="I83" s="1699">
        <v>0.35</v>
      </c>
      <c r="J83" s="1699">
        <v>0.4</v>
      </c>
      <c r="K83" s="913">
        <v>0.45</v>
      </c>
      <c r="L83" s="913">
        <v>0.65</v>
      </c>
      <c r="M83" s="913">
        <v>0.7</v>
      </c>
      <c r="N83" s="913">
        <v>0.8</v>
      </c>
      <c r="O83" s="913" t="s">
        <v>99</v>
      </c>
      <c r="P83" s="2514"/>
      <c r="Q83" s="2514"/>
      <c r="R83" s="2514"/>
      <c r="S83" s="2541"/>
      <c r="T83" s="2541"/>
      <c r="U83" s="2514"/>
      <c r="V83" s="2541"/>
      <c r="W83" s="2541"/>
      <c r="X83" s="2541"/>
      <c r="Y83" s="2541"/>
    </row>
    <row r="84" spans="1:51" s="1" customFormat="1" ht="23.25" x14ac:dyDescent="0.25">
      <c r="A84" s="2519" t="s">
        <v>2917</v>
      </c>
      <c r="B84" s="2520"/>
      <c r="C84" s="2520"/>
      <c r="D84" s="2521"/>
      <c r="E84" s="2337">
        <v>0</v>
      </c>
      <c r="F84" s="2337">
        <v>0</v>
      </c>
      <c r="G84" s="2498">
        <v>0</v>
      </c>
      <c r="H84" s="2500"/>
      <c r="I84" s="914" t="s">
        <v>17</v>
      </c>
      <c r="J84" s="914">
        <v>0</v>
      </c>
      <c r="K84" s="914">
        <v>0</v>
      </c>
      <c r="L84" s="2498">
        <v>0</v>
      </c>
      <c r="M84" s="2499"/>
      <c r="N84" s="2500"/>
      <c r="O84" s="914" t="s">
        <v>17</v>
      </c>
      <c r="P84" s="2515" t="s">
        <v>17</v>
      </c>
      <c r="Q84" s="2522" t="s">
        <v>17</v>
      </c>
      <c r="R84" s="2523"/>
      <c r="S84" s="1847">
        <v>0</v>
      </c>
      <c r="T84" s="1700">
        <v>0</v>
      </c>
      <c r="U84" s="1700">
        <v>0</v>
      </c>
      <c r="V84" s="1700">
        <v>0</v>
      </c>
      <c r="W84" s="1700">
        <v>0</v>
      </c>
      <c r="X84" s="2522" t="s">
        <v>17</v>
      </c>
      <c r="Y84" s="2565"/>
    </row>
    <row r="85" spans="1:51" s="1" customFormat="1" ht="23.25" x14ac:dyDescent="0.25">
      <c r="A85" s="2519" t="s">
        <v>2530</v>
      </c>
      <c r="B85" s="2520"/>
      <c r="C85" s="2520"/>
      <c r="D85" s="2521"/>
      <c r="E85" s="2337">
        <v>0</v>
      </c>
      <c r="F85" s="2337">
        <v>0</v>
      </c>
      <c r="G85" s="2501"/>
      <c r="H85" s="2503"/>
      <c r="I85" s="914">
        <v>0</v>
      </c>
      <c r="J85" s="914">
        <v>0</v>
      </c>
      <c r="K85" s="914">
        <v>0</v>
      </c>
      <c r="L85" s="2501"/>
      <c r="M85" s="2502"/>
      <c r="N85" s="2503"/>
      <c r="O85" s="914">
        <v>0</v>
      </c>
      <c r="P85" s="2516"/>
      <c r="Q85" s="914">
        <v>0</v>
      </c>
      <c r="R85" s="914">
        <v>0</v>
      </c>
      <c r="S85" s="914">
        <v>0</v>
      </c>
      <c r="T85" s="914">
        <v>0</v>
      </c>
      <c r="U85" s="914">
        <v>0</v>
      </c>
      <c r="V85" s="914">
        <v>0</v>
      </c>
      <c r="W85" s="914">
        <v>0</v>
      </c>
      <c r="X85" s="914">
        <v>0</v>
      </c>
      <c r="Y85" s="914">
        <v>0</v>
      </c>
    </row>
    <row r="86" spans="1:51" s="1" customFormat="1" ht="23.25" x14ac:dyDescent="0.25">
      <c r="A86" s="2534" t="s">
        <v>2531</v>
      </c>
      <c r="B86" s="2535"/>
      <c r="C86" s="2535"/>
      <c r="D86" s="2536"/>
      <c r="E86" s="2337">
        <v>0</v>
      </c>
      <c r="F86" s="2337">
        <v>0</v>
      </c>
      <c r="G86" s="2504"/>
      <c r="H86" s="2506"/>
      <c r="I86" s="914">
        <v>0</v>
      </c>
      <c r="J86" s="914">
        <v>0</v>
      </c>
      <c r="K86" s="914">
        <v>0</v>
      </c>
      <c r="L86" s="2504"/>
      <c r="M86" s="2505"/>
      <c r="N86" s="2506"/>
      <c r="O86" s="914">
        <v>0</v>
      </c>
      <c r="P86" s="2517"/>
      <c r="Q86" s="914">
        <v>0</v>
      </c>
      <c r="R86" s="914">
        <v>0</v>
      </c>
      <c r="S86" s="914">
        <v>0</v>
      </c>
      <c r="T86" s="914">
        <v>0</v>
      </c>
      <c r="U86" s="914">
        <v>0</v>
      </c>
      <c r="V86" s="914">
        <v>0</v>
      </c>
      <c r="W86" s="914">
        <v>0</v>
      </c>
      <c r="X86" s="914">
        <v>0</v>
      </c>
      <c r="Y86" s="914">
        <v>0</v>
      </c>
    </row>
    <row r="87" spans="1:51" s="1" customFormat="1" ht="23.25" x14ac:dyDescent="0.25">
      <c r="A87" s="2519" t="s">
        <v>2539</v>
      </c>
      <c r="B87" s="2520"/>
      <c r="C87" s="2520"/>
      <c r="D87" s="2521"/>
      <c r="E87" s="2337">
        <v>0</v>
      </c>
      <c r="F87" s="2337">
        <v>0</v>
      </c>
      <c r="G87" s="2507" t="s">
        <v>17</v>
      </c>
      <c r="H87" s="2509"/>
      <c r="I87" s="2351"/>
      <c r="J87" s="2352"/>
      <c r="K87" s="914">
        <v>0</v>
      </c>
      <c r="L87" s="2507" t="s">
        <v>17</v>
      </c>
      <c r="M87" s="2508"/>
      <c r="N87" s="2509"/>
      <c r="O87" s="914">
        <v>0</v>
      </c>
      <c r="P87" s="914">
        <v>0</v>
      </c>
      <c r="Q87" s="2549" t="s">
        <v>17</v>
      </c>
      <c r="R87" s="2549"/>
      <c r="S87" s="2549"/>
      <c r="T87" s="2549"/>
      <c r="U87" s="2549"/>
      <c r="V87" s="2549"/>
      <c r="W87" s="2549"/>
      <c r="X87" s="2549"/>
      <c r="Y87" s="2549"/>
      <c r="Z87" s="9"/>
    </row>
    <row r="88" spans="1:51" s="1" customFormat="1" ht="31.5" customHeight="1" x14ac:dyDescent="0.25">
      <c r="A88" s="2596" t="s">
        <v>2916</v>
      </c>
      <c r="B88" s="2597"/>
      <c r="C88" s="2597"/>
      <c r="D88" s="2598"/>
      <c r="E88" s="2507">
        <v>0</v>
      </c>
      <c r="F88" s="2508"/>
      <c r="G88" s="2508"/>
      <c r="H88" s="2508"/>
      <c r="I88" s="2508"/>
      <c r="J88" s="2599"/>
      <c r="K88" s="2599"/>
      <c r="L88" s="2599"/>
      <c r="M88" s="2599"/>
      <c r="N88" s="2599"/>
      <c r="O88" s="2599"/>
      <c r="P88" s="2599"/>
      <c r="Q88" s="2599"/>
      <c r="R88" s="2599"/>
      <c r="S88" s="2599"/>
      <c r="T88" s="2599"/>
      <c r="U88" s="2599"/>
      <c r="V88" s="2599"/>
      <c r="W88" s="2599"/>
      <c r="X88" s="2599"/>
      <c r="Y88" s="2600"/>
    </row>
    <row r="89" spans="1:51" s="1" customFormat="1" ht="20.25" x14ac:dyDescent="0.25"/>
    <row r="90" spans="1:51" s="1" customFormat="1" ht="20.25" x14ac:dyDescent="0.25"/>
    <row r="91" spans="1:51" s="1" customFormat="1" ht="20.25" x14ac:dyDescent="0.25">
      <c r="M91" s="2547"/>
      <c r="N91" s="48"/>
      <c r="O91" s="2338"/>
      <c r="P91" s="2548"/>
      <c r="Q91" s="2548"/>
      <c r="R91" s="2548"/>
      <c r="S91" s="2547"/>
      <c r="T91" s="2547"/>
      <c r="U91" s="2547"/>
      <c r="V91" s="2547"/>
      <c r="W91" s="2547"/>
      <c r="X91" s="2566"/>
      <c r="Y91" s="2566"/>
      <c r="Z91" s="2566"/>
      <c r="AA91" s="2548"/>
      <c r="AB91" s="2567"/>
      <c r="AC91" s="2567"/>
      <c r="AD91" s="2567"/>
      <c r="AE91" s="2546"/>
      <c r="AF91" s="2546"/>
      <c r="AG91" s="2546"/>
      <c r="AH91" s="2546"/>
      <c r="AI91" s="2546"/>
      <c r="AJ91" s="2546"/>
      <c r="AK91" s="2546"/>
      <c r="AL91" s="2546"/>
      <c r="AM91" s="2546"/>
      <c r="AN91" s="2546"/>
      <c r="AO91" s="2546"/>
      <c r="AP91" s="2546"/>
      <c r="AQ91" s="2546"/>
      <c r="AR91" s="2546"/>
      <c r="AS91" s="2546"/>
      <c r="AT91" s="2546"/>
      <c r="AU91" s="2546"/>
      <c r="AV91" s="2546"/>
      <c r="AW91" s="2546"/>
      <c r="AX91" s="2546"/>
      <c r="AY91" s="49"/>
    </row>
    <row r="92" spans="1:51" s="1" customFormat="1" ht="20.25" x14ac:dyDescent="0.25">
      <c r="M92" s="2547"/>
      <c r="N92" s="48"/>
      <c r="O92" s="1512"/>
      <c r="P92" s="50"/>
      <c r="Q92" s="51"/>
      <c r="R92" s="1512"/>
      <c r="S92" s="52"/>
      <c r="T92" s="1512"/>
      <c r="U92" s="1710"/>
      <c r="V92" s="53"/>
      <c r="W92" s="54"/>
      <c r="X92" s="1512"/>
      <c r="Y92" s="1512"/>
      <c r="Z92" s="56"/>
      <c r="AA92" s="51"/>
      <c r="AB92" s="48"/>
      <c r="AC92" s="48"/>
      <c r="AD92" s="57"/>
      <c r="AE92" s="56"/>
      <c r="AF92" s="48"/>
      <c r="AG92" s="48"/>
      <c r="AH92" s="56"/>
      <c r="AI92" s="55"/>
      <c r="AJ92" s="48"/>
      <c r="AK92" s="56"/>
      <c r="AL92" s="56"/>
      <c r="AM92" s="55"/>
      <c r="AN92" s="48"/>
      <c r="AO92" s="48"/>
      <c r="AP92" s="58"/>
      <c r="AQ92" s="59"/>
      <c r="AR92" s="59"/>
      <c r="AS92" s="59"/>
      <c r="AT92" s="60"/>
      <c r="AU92" s="55"/>
      <c r="AV92" s="48"/>
      <c r="AW92" s="48"/>
      <c r="AX92" s="58"/>
      <c r="AY92" s="61"/>
    </row>
    <row r="93" spans="1:51" s="1" customFormat="1" ht="20.25" x14ac:dyDescent="0.25">
      <c r="M93" s="48"/>
      <c r="N93" s="62"/>
      <c r="O93" s="62"/>
      <c r="P93" s="63"/>
      <c r="Q93" s="64"/>
      <c r="R93" s="62"/>
      <c r="S93" s="62"/>
      <c r="T93" s="62"/>
      <c r="U93" s="62"/>
      <c r="V93" s="65"/>
      <c r="W93" s="66"/>
      <c r="X93" s="62"/>
      <c r="Y93" s="62"/>
      <c r="Z93" s="67"/>
      <c r="AA93" s="64"/>
      <c r="AB93" s="62"/>
      <c r="AC93" s="62"/>
      <c r="AD93" s="68"/>
      <c r="AE93" s="69"/>
      <c r="AF93" s="62"/>
      <c r="AG93" s="62"/>
      <c r="AH93" s="66"/>
      <c r="AI93" s="66"/>
      <c r="AJ93" s="62"/>
      <c r="AK93" s="66"/>
      <c r="AL93" s="66"/>
      <c r="AM93" s="66"/>
      <c r="AN93" s="62"/>
      <c r="AO93" s="62"/>
      <c r="AP93" s="70"/>
      <c r="AQ93" s="71"/>
      <c r="AR93" s="71"/>
      <c r="AS93" s="71"/>
      <c r="AT93" s="72"/>
      <c r="AU93" s="66"/>
      <c r="AV93" s="62"/>
      <c r="AW93" s="62"/>
      <c r="AX93" s="70"/>
      <c r="AY93" s="73"/>
    </row>
    <row r="94" spans="1:51" s="1" customFormat="1" ht="20.25" x14ac:dyDescent="0.25">
      <c r="M94" s="48"/>
      <c r="N94" s="62"/>
      <c r="O94" s="62"/>
      <c r="P94" s="63"/>
      <c r="Q94" s="64"/>
      <c r="R94" s="62"/>
      <c r="S94" s="62"/>
      <c r="T94" s="62"/>
      <c r="U94" s="62"/>
      <c r="V94" s="65"/>
      <c r="W94" s="66"/>
      <c r="X94" s="62"/>
      <c r="Y94" s="62"/>
      <c r="Z94" s="67"/>
      <c r="AA94" s="64"/>
      <c r="AB94" s="62"/>
      <c r="AC94" s="62"/>
      <c r="AD94" s="68"/>
      <c r="AE94" s="69"/>
      <c r="AF94" s="62"/>
      <c r="AG94" s="62"/>
      <c r="AH94" s="66"/>
      <c r="AI94" s="66"/>
      <c r="AJ94" s="62"/>
      <c r="AK94" s="66"/>
      <c r="AL94" s="66"/>
      <c r="AM94" s="66"/>
      <c r="AN94" s="62"/>
      <c r="AO94" s="62"/>
      <c r="AP94" s="70"/>
      <c r="AQ94" s="71"/>
      <c r="AR94" s="71"/>
      <c r="AS94" s="71"/>
      <c r="AT94" s="72"/>
      <c r="AU94" s="66"/>
      <c r="AV94" s="62"/>
      <c r="AW94" s="62"/>
      <c r="AX94" s="70"/>
      <c r="AY94" s="73"/>
    </row>
    <row r="95" spans="1:51" s="1" customFormat="1" ht="20.25" x14ac:dyDescent="0.25">
      <c r="M95" s="48"/>
      <c r="N95" s="62"/>
      <c r="O95" s="62"/>
      <c r="P95" s="63"/>
      <c r="Q95" s="64"/>
      <c r="R95" s="62"/>
      <c r="S95" s="62"/>
      <c r="T95" s="62"/>
      <c r="U95" s="62"/>
      <c r="V95" s="65"/>
      <c r="W95" s="66"/>
      <c r="X95" s="62"/>
      <c r="Y95" s="62"/>
      <c r="Z95" s="67"/>
      <c r="AA95" s="64"/>
      <c r="AB95" s="62"/>
      <c r="AC95" s="62"/>
      <c r="AD95" s="68"/>
      <c r="AE95" s="69"/>
      <c r="AF95" s="62"/>
      <c r="AG95" s="62"/>
      <c r="AH95" s="66"/>
      <c r="AI95" s="66"/>
      <c r="AJ95" s="62"/>
      <c r="AK95" s="66"/>
      <c r="AL95" s="66"/>
      <c r="AM95" s="66"/>
      <c r="AN95" s="62"/>
      <c r="AO95" s="62"/>
      <c r="AP95" s="70"/>
      <c r="AQ95" s="71"/>
      <c r="AR95" s="71"/>
      <c r="AS95" s="71"/>
      <c r="AT95" s="72"/>
      <c r="AU95" s="66"/>
      <c r="AV95" s="62"/>
      <c r="AW95" s="62"/>
      <c r="AX95" s="70"/>
      <c r="AY95" s="73"/>
    </row>
    <row r="96" spans="1:51" s="1" customFormat="1" ht="20.25" x14ac:dyDescent="0.25">
      <c r="M96" s="48"/>
      <c r="N96" s="62"/>
      <c r="O96" s="62"/>
      <c r="P96" s="63"/>
      <c r="Q96" s="64"/>
      <c r="R96" s="62"/>
      <c r="S96" s="62"/>
      <c r="T96" s="62"/>
      <c r="U96" s="62"/>
      <c r="V96" s="65"/>
      <c r="W96" s="66"/>
      <c r="X96" s="62"/>
      <c r="Y96" s="62"/>
      <c r="Z96" s="67"/>
      <c r="AA96" s="64"/>
      <c r="AB96" s="62"/>
      <c r="AC96" s="62"/>
      <c r="AD96" s="68"/>
      <c r="AE96" s="69"/>
      <c r="AF96" s="62"/>
      <c r="AG96" s="62"/>
      <c r="AH96" s="66"/>
      <c r="AI96" s="66"/>
      <c r="AJ96" s="62"/>
      <c r="AK96" s="66"/>
      <c r="AL96" s="66"/>
      <c r="AM96" s="66"/>
      <c r="AN96" s="62"/>
      <c r="AO96" s="62"/>
      <c r="AP96" s="70"/>
      <c r="AQ96" s="71"/>
      <c r="AR96" s="71"/>
      <c r="AS96" s="71"/>
      <c r="AT96" s="72"/>
      <c r="AU96" s="66"/>
      <c r="AV96" s="62"/>
      <c r="AW96" s="62"/>
      <c r="AX96" s="70"/>
      <c r="AY96" s="73"/>
    </row>
    <row r="97" spans="13:51" s="1" customFormat="1" ht="20.25" x14ac:dyDescent="0.25">
      <c r="M97" s="48"/>
      <c r="N97" s="62"/>
      <c r="O97" s="62"/>
      <c r="P97" s="63"/>
      <c r="Q97" s="64"/>
      <c r="R97" s="62"/>
      <c r="S97" s="62"/>
      <c r="T97" s="62"/>
      <c r="U97" s="62"/>
      <c r="V97" s="65"/>
      <c r="W97" s="66"/>
      <c r="X97" s="62"/>
      <c r="Y97" s="62"/>
      <c r="Z97" s="67"/>
      <c r="AA97" s="64"/>
      <c r="AB97" s="62"/>
      <c r="AC97" s="62"/>
      <c r="AD97" s="68"/>
      <c r="AE97" s="69"/>
      <c r="AF97" s="62"/>
      <c r="AG97" s="62"/>
      <c r="AH97" s="66"/>
      <c r="AI97" s="66"/>
      <c r="AJ97" s="62"/>
      <c r="AK97" s="66"/>
      <c r="AL97" s="66"/>
      <c r="AM97" s="66"/>
      <c r="AN97" s="62"/>
      <c r="AO97" s="62"/>
      <c r="AP97" s="70"/>
      <c r="AQ97" s="71"/>
      <c r="AR97" s="71"/>
      <c r="AS97" s="71"/>
      <c r="AT97" s="72"/>
      <c r="AU97" s="66"/>
      <c r="AV97" s="62"/>
      <c r="AW97" s="62"/>
      <c r="AX97" s="70"/>
      <c r="AY97" s="73"/>
    </row>
    <row r="98" spans="13:51" s="1" customFormat="1" ht="20.25" x14ac:dyDescent="0.25">
      <c r="M98" s="48"/>
      <c r="N98" s="62"/>
      <c r="O98" s="62"/>
      <c r="P98" s="63"/>
      <c r="Q98" s="64"/>
      <c r="R98" s="62"/>
      <c r="S98" s="62"/>
      <c r="T98" s="62"/>
      <c r="U98" s="62"/>
      <c r="V98" s="65"/>
      <c r="W98" s="66"/>
      <c r="X98" s="62"/>
      <c r="Y98" s="62"/>
      <c r="Z98" s="67"/>
      <c r="AA98" s="64"/>
      <c r="AB98" s="62"/>
      <c r="AC98" s="62"/>
      <c r="AD98" s="68"/>
      <c r="AE98" s="69"/>
      <c r="AF98" s="62"/>
      <c r="AG98" s="62"/>
      <c r="AH98" s="66"/>
      <c r="AI98" s="66"/>
      <c r="AJ98" s="62"/>
      <c r="AK98" s="66"/>
      <c r="AL98" s="66"/>
      <c r="AM98" s="66"/>
      <c r="AN98" s="62"/>
      <c r="AO98" s="62"/>
      <c r="AP98" s="70"/>
      <c r="AQ98" s="71"/>
      <c r="AR98" s="71"/>
      <c r="AS98" s="71"/>
      <c r="AT98" s="72"/>
      <c r="AU98" s="66"/>
      <c r="AV98" s="62"/>
      <c r="AW98" s="62"/>
      <c r="AX98" s="70"/>
      <c r="AY98" s="74"/>
    </row>
    <row r="99" spans="13:51" s="1" customFormat="1" ht="20.25" x14ac:dyDescent="0.25"/>
    <row r="100" spans="13:51" s="1" customFormat="1" ht="20.25" x14ac:dyDescent="0.25"/>
    <row r="101" spans="13:51" s="1" customFormat="1" ht="20.25" x14ac:dyDescent="0.25"/>
    <row r="102" spans="13:51" s="1" customFormat="1" ht="20.25" x14ac:dyDescent="0.25"/>
    <row r="103" spans="13:51" s="1" customFormat="1" ht="20.25" x14ac:dyDescent="0.25"/>
    <row r="104" spans="13:51" s="1" customFormat="1" ht="20.25" x14ac:dyDescent="0.25"/>
    <row r="105" spans="13:51" s="1" customFormat="1" ht="20.25" x14ac:dyDescent="0.25"/>
    <row r="106" spans="13:51" s="1" customFormat="1" ht="20.25" x14ac:dyDescent="0.25"/>
    <row r="107" spans="13:51" s="75" customFormat="1" ht="20.25" x14ac:dyDescent="0.3"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  <c r="AA107" s="1"/>
      <c r="AB107" s="1"/>
      <c r="AC107" s="1"/>
      <c r="AD107" s="1"/>
      <c r="AE107" s="1"/>
      <c r="AF107" s="1"/>
      <c r="AG107" s="1"/>
      <c r="AH107" s="1"/>
      <c r="AI107" s="1"/>
      <c r="AJ107" s="1"/>
      <c r="AK107" s="1"/>
      <c r="AL107" s="1"/>
      <c r="AM107" s="1"/>
      <c r="AN107" s="1"/>
      <c r="AO107" s="1"/>
      <c r="AP107" s="1"/>
      <c r="AQ107" s="1"/>
      <c r="AR107" s="1"/>
      <c r="AS107" s="1"/>
      <c r="AT107" s="1"/>
      <c r="AU107" s="1"/>
      <c r="AV107" s="1"/>
      <c r="AW107" s="1"/>
      <c r="AX107" s="1"/>
      <c r="AY107" s="1"/>
    </row>
    <row r="108" spans="13:51" s="75" customFormat="1" ht="20.25" x14ac:dyDescent="0.3"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  <c r="AA108" s="1"/>
      <c r="AB108" s="1"/>
      <c r="AC108" s="1"/>
      <c r="AD108" s="1"/>
      <c r="AE108" s="1"/>
      <c r="AF108" s="1"/>
      <c r="AG108" s="1"/>
      <c r="AH108" s="1"/>
      <c r="AI108" s="1"/>
      <c r="AJ108" s="1"/>
      <c r="AK108" s="1"/>
      <c r="AL108" s="1"/>
      <c r="AM108" s="1"/>
      <c r="AN108" s="1"/>
      <c r="AO108" s="1"/>
      <c r="AP108" s="1"/>
      <c r="AQ108" s="1"/>
      <c r="AR108" s="1"/>
      <c r="AS108" s="1"/>
      <c r="AT108" s="1"/>
      <c r="AU108" s="1"/>
      <c r="AV108" s="1"/>
      <c r="AW108" s="1"/>
      <c r="AX108" s="1"/>
      <c r="AY108" s="1"/>
    </row>
    <row r="109" spans="13:51" s="75" customFormat="1" ht="20.25" x14ac:dyDescent="0.3"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  <c r="AA109" s="1"/>
      <c r="AB109" s="1"/>
      <c r="AC109" s="1"/>
      <c r="AD109" s="1"/>
      <c r="AE109" s="1"/>
      <c r="AF109" s="1"/>
      <c r="AG109" s="1"/>
      <c r="AH109" s="1"/>
      <c r="AI109" s="1"/>
      <c r="AJ109" s="1"/>
      <c r="AK109" s="1"/>
      <c r="AL109" s="1"/>
      <c r="AM109" s="1"/>
      <c r="AN109" s="1"/>
      <c r="AO109" s="1"/>
      <c r="AP109" s="1"/>
      <c r="AQ109" s="1"/>
      <c r="AR109" s="1"/>
      <c r="AS109" s="1"/>
      <c r="AT109" s="1"/>
      <c r="AU109" s="1"/>
      <c r="AV109" s="1"/>
      <c r="AW109" s="1"/>
      <c r="AX109" s="1"/>
      <c r="AY109" s="1"/>
    </row>
    <row r="110" spans="13:51" s="75" customFormat="1" ht="20.25" x14ac:dyDescent="0.3"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  <c r="AA110" s="1"/>
      <c r="AB110" s="1"/>
      <c r="AC110" s="1"/>
      <c r="AD110" s="1"/>
      <c r="AE110" s="1"/>
      <c r="AF110" s="1"/>
      <c r="AG110" s="1"/>
      <c r="AH110" s="1"/>
      <c r="AI110" s="1"/>
      <c r="AJ110" s="1"/>
      <c r="AK110" s="1"/>
      <c r="AL110" s="1"/>
      <c r="AM110" s="1"/>
      <c r="AN110" s="1"/>
      <c r="AO110" s="1"/>
      <c r="AP110" s="1"/>
      <c r="AQ110" s="1"/>
      <c r="AR110" s="1"/>
      <c r="AS110" s="1"/>
      <c r="AT110" s="1"/>
      <c r="AU110" s="1"/>
      <c r="AV110" s="1"/>
      <c r="AW110" s="1"/>
      <c r="AX110" s="1"/>
      <c r="AY110" s="1"/>
    </row>
    <row r="111" spans="13:51" s="75" customFormat="1" ht="20.25" x14ac:dyDescent="0.3"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  <c r="AA111" s="1"/>
      <c r="AB111" s="1"/>
      <c r="AC111" s="1"/>
      <c r="AD111" s="1"/>
      <c r="AE111" s="1"/>
      <c r="AF111" s="1"/>
      <c r="AG111" s="1"/>
      <c r="AH111" s="1"/>
      <c r="AI111" s="1"/>
      <c r="AJ111" s="1"/>
      <c r="AK111" s="1"/>
      <c r="AL111" s="1"/>
      <c r="AM111" s="1"/>
      <c r="AN111" s="1"/>
      <c r="AO111" s="1"/>
      <c r="AP111" s="1"/>
      <c r="AQ111" s="1"/>
      <c r="AR111" s="1"/>
      <c r="AS111" s="1"/>
      <c r="AT111" s="1"/>
      <c r="AU111" s="1"/>
      <c r="AV111" s="1"/>
      <c r="AW111" s="1"/>
      <c r="AX111" s="1"/>
      <c r="AY111" s="1"/>
    </row>
    <row r="112" spans="13:51" s="75" customFormat="1" ht="20.25" x14ac:dyDescent="0.3"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  <c r="AA112" s="1"/>
      <c r="AB112" s="1"/>
      <c r="AC112" s="1"/>
      <c r="AD112" s="1"/>
      <c r="AE112" s="1"/>
      <c r="AF112" s="1"/>
      <c r="AG112" s="1"/>
      <c r="AH112" s="1"/>
      <c r="AI112" s="1"/>
      <c r="AJ112" s="1"/>
      <c r="AK112" s="1"/>
      <c r="AL112" s="1"/>
      <c r="AM112" s="1"/>
      <c r="AN112" s="1"/>
      <c r="AO112" s="1"/>
      <c r="AP112" s="1"/>
      <c r="AQ112" s="1"/>
      <c r="AR112" s="1"/>
      <c r="AS112" s="1"/>
      <c r="AT112" s="1"/>
      <c r="AU112" s="1"/>
      <c r="AV112" s="1"/>
      <c r="AW112" s="1"/>
      <c r="AX112" s="1"/>
      <c r="AY112" s="1"/>
    </row>
    <row r="113" spans="13:51" s="75" customFormat="1" ht="20.25" x14ac:dyDescent="0.3"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  <c r="AA113" s="1"/>
      <c r="AB113" s="1"/>
      <c r="AC113" s="1"/>
      <c r="AD113" s="1"/>
      <c r="AE113" s="1"/>
      <c r="AF113" s="1"/>
      <c r="AG113" s="1"/>
      <c r="AH113" s="1"/>
      <c r="AI113" s="1"/>
      <c r="AJ113" s="1"/>
      <c r="AK113" s="1"/>
      <c r="AL113" s="1"/>
      <c r="AM113" s="1"/>
      <c r="AN113" s="1"/>
      <c r="AO113" s="1"/>
      <c r="AP113" s="1"/>
      <c r="AQ113" s="1"/>
      <c r="AR113" s="1"/>
      <c r="AS113" s="1"/>
      <c r="AT113" s="1"/>
      <c r="AU113" s="1"/>
      <c r="AV113" s="1"/>
      <c r="AW113" s="1"/>
      <c r="AX113" s="1"/>
      <c r="AY113" s="1"/>
    </row>
    <row r="114" spans="13:51" s="75" customFormat="1" ht="20.25" x14ac:dyDescent="0.3"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  <c r="AA114" s="1"/>
      <c r="AB114" s="1"/>
      <c r="AC114" s="1"/>
      <c r="AD114" s="1"/>
      <c r="AE114" s="1"/>
      <c r="AF114" s="1"/>
      <c r="AG114" s="1"/>
      <c r="AH114" s="1"/>
      <c r="AI114" s="1"/>
      <c r="AJ114" s="1"/>
      <c r="AK114" s="1"/>
      <c r="AL114" s="1"/>
      <c r="AM114" s="1"/>
      <c r="AN114" s="1"/>
      <c r="AO114" s="1"/>
      <c r="AP114" s="1"/>
      <c r="AQ114" s="1"/>
      <c r="AR114" s="1"/>
      <c r="AS114" s="1"/>
      <c r="AT114" s="1"/>
      <c r="AU114" s="1"/>
      <c r="AV114" s="1"/>
      <c r="AW114" s="1"/>
      <c r="AX114" s="1"/>
      <c r="AY114" s="1"/>
    </row>
    <row r="115" spans="13:51" s="75" customFormat="1" ht="20.25" x14ac:dyDescent="0.3"/>
    <row r="116" spans="13:51" s="75" customFormat="1" ht="20.25" x14ac:dyDescent="0.3"/>
    <row r="117" spans="13:51" s="75" customFormat="1" ht="20.25" x14ac:dyDescent="0.3"/>
    <row r="118" spans="13:51" s="75" customFormat="1" ht="20.25" x14ac:dyDescent="0.3"/>
    <row r="119" spans="13:51" s="75" customFormat="1" ht="20.25" x14ac:dyDescent="0.3"/>
    <row r="120" spans="13:51" s="75" customFormat="1" ht="20.25" x14ac:dyDescent="0.3"/>
    <row r="121" spans="13:51" s="75" customFormat="1" ht="20.25" x14ac:dyDescent="0.3"/>
    <row r="122" spans="13:51" s="75" customFormat="1" ht="20.25" x14ac:dyDescent="0.3"/>
    <row r="123" spans="13:51" s="75" customFormat="1" ht="20.25" x14ac:dyDescent="0.3"/>
    <row r="124" spans="13:51" s="75" customFormat="1" ht="20.25" x14ac:dyDescent="0.3"/>
    <row r="125" spans="13:51" s="75" customFormat="1" ht="20.25" x14ac:dyDescent="0.3"/>
    <row r="126" spans="13:51" s="75" customFormat="1" ht="20.25" x14ac:dyDescent="0.3"/>
    <row r="127" spans="13:51" s="75" customFormat="1" ht="20.25" x14ac:dyDescent="0.3"/>
    <row r="128" spans="13:51" s="75" customFormat="1" ht="20.25" x14ac:dyDescent="0.3"/>
    <row r="129" s="75" customFormat="1" ht="20.25" x14ac:dyDescent="0.3"/>
    <row r="130" s="75" customFormat="1" ht="20.25" x14ac:dyDescent="0.3"/>
    <row r="131" s="75" customFormat="1" ht="20.25" x14ac:dyDescent="0.3"/>
    <row r="132" s="75" customFormat="1" ht="20.25" x14ac:dyDescent="0.3"/>
    <row r="133" s="75" customFormat="1" ht="20.25" x14ac:dyDescent="0.3"/>
    <row r="134" s="75" customFormat="1" ht="20.25" x14ac:dyDescent="0.3"/>
    <row r="135" s="75" customFormat="1" ht="20.25" x14ac:dyDescent="0.3"/>
    <row r="136" s="75" customFormat="1" ht="20.25" x14ac:dyDescent="0.3"/>
    <row r="137" s="75" customFormat="1" ht="20.25" x14ac:dyDescent="0.3"/>
    <row r="138" s="75" customFormat="1" ht="20.25" x14ac:dyDescent="0.3"/>
    <row r="139" s="75" customFormat="1" ht="20.25" x14ac:dyDescent="0.3"/>
    <row r="140" s="75" customFormat="1" ht="20.25" x14ac:dyDescent="0.3"/>
    <row r="141" s="75" customFormat="1" ht="20.25" x14ac:dyDescent="0.3"/>
    <row r="142" s="75" customFormat="1" ht="20.25" x14ac:dyDescent="0.3"/>
    <row r="143" s="75" customFormat="1" ht="20.25" x14ac:dyDescent="0.3"/>
    <row r="144" s="75" customFormat="1" ht="20.25" x14ac:dyDescent="0.3"/>
    <row r="145" s="75" customFormat="1" ht="20.25" x14ac:dyDescent="0.3"/>
    <row r="146" s="75" customFormat="1" ht="20.25" x14ac:dyDescent="0.3"/>
    <row r="147" s="75" customFormat="1" ht="20.25" x14ac:dyDescent="0.3"/>
    <row r="148" s="75" customFormat="1" ht="20.25" x14ac:dyDescent="0.3"/>
    <row r="149" s="75" customFormat="1" ht="20.25" x14ac:dyDescent="0.3"/>
    <row r="150" s="75" customFormat="1" ht="20.25" x14ac:dyDescent="0.3"/>
    <row r="151" s="75" customFormat="1" ht="20.25" x14ac:dyDescent="0.3"/>
    <row r="152" s="75" customFormat="1" ht="20.25" x14ac:dyDescent="0.3"/>
    <row r="153" s="75" customFormat="1" ht="20.25" x14ac:dyDescent="0.3"/>
    <row r="154" s="75" customFormat="1" ht="20.25" x14ac:dyDescent="0.3"/>
    <row r="155" s="75" customFormat="1" ht="20.25" x14ac:dyDescent="0.3"/>
    <row r="156" s="75" customFormat="1" ht="20.25" x14ac:dyDescent="0.3"/>
    <row r="157" s="75" customFormat="1" ht="20.25" x14ac:dyDescent="0.3"/>
    <row r="158" s="75" customFormat="1" ht="20.25" x14ac:dyDescent="0.3"/>
    <row r="159" s="75" customFormat="1" ht="20.25" x14ac:dyDescent="0.3"/>
    <row r="160" s="75" customFormat="1" ht="20.25" x14ac:dyDescent="0.3"/>
    <row r="161" s="75" customFormat="1" ht="20.25" x14ac:dyDescent="0.3"/>
    <row r="162" s="75" customFormat="1" ht="20.25" x14ac:dyDescent="0.3"/>
    <row r="163" s="75" customFormat="1" ht="20.25" x14ac:dyDescent="0.3"/>
    <row r="164" s="75" customFormat="1" ht="20.25" x14ac:dyDescent="0.3"/>
    <row r="165" s="75" customFormat="1" ht="20.25" x14ac:dyDescent="0.3"/>
    <row r="166" s="75" customFormat="1" ht="20.25" x14ac:dyDescent="0.3"/>
    <row r="167" s="75" customFormat="1" ht="20.25" x14ac:dyDescent="0.3"/>
    <row r="168" s="75" customFormat="1" ht="20.25" x14ac:dyDescent="0.3"/>
    <row r="169" s="75" customFormat="1" ht="20.25" x14ac:dyDescent="0.3"/>
    <row r="170" s="75" customFormat="1" ht="20.25" x14ac:dyDescent="0.3"/>
    <row r="171" s="75" customFormat="1" ht="20.25" x14ac:dyDescent="0.3"/>
    <row r="172" s="75" customFormat="1" ht="20.25" x14ac:dyDescent="0.3"/>
    <row r="173" s="75" customFormat="1" ht="20.25" x14ac:dyDescent="0.3"/>
    <row r="174" s="75" customFormat="1" ht="20.25" x14ac:dyDescent="0.3"/>
    <row r="175" s="75" customFormat="1" ht="20.25" x14ac:dyDescent="0.3"/>
    <row r="176" s="75" customFormat="1" ht="20.25" x14ac:dyDescent="0.3"/>
    <row r="177" s="75" customFormat="1" ht="20.25" x14ac:dyDescent="0.3"/>
    <row r="178" s="75" customFormat="1" ht="20.25" x14ac:dyDescent="0.3"/>
    <row r="179" s="75" customFormat="1" ht="20.25" x14ac:dyDescent="0.3"/>
    <row r="180" s="75" customFormat="1" ht="20.25" x14ac:dyDescent="0.3"/>
    <row r="181" s="75" customFormat="1" ht="20.25" x14ac:dyDescent="0.3"/>
    <row r="182" s="75" customFormat="1" ht="20.25" x14ac:dyDescent="0.3"/>
    <row r="183" s="75" customFormat="1" ht="20.25" x14ac:dyDescent="0.3"/>
    <row r="184" s="75" customFormat="1" ht="20.25" x14ac:dyDescent="0.3"/>
    <row r="185" s="75" customFormat="1" ht="20.25" x14ac:dyDescent="0.3"/>
    <row r="186" s="75" customFormat="1" ht="20.25" x14ac:dyDescent="0.3"/>
    <row r="187" s="75" customFormat="1" ht="20.25" x14ac:dyDescent="0.3"/>
    <row r="188" s="75" customFormat="1" ht="20.25" x14ac:dyDescent="0.3"/>
    <row r="189" s="75" customFormat="1" ht="20.25" x14ac:dyDescent="0.3"/>
    <row r="190" s="75" customFormat="1" ht="20.25" x14ac:dyDescent="0.3"/>
    <row r="191" s="75" customFormat="1" ht="20.25" x14ac:dyDescent="0.3"/>
    <row r="192" s="75" customFormat="1" ht="20.25" x14ac:dyDescent="0.3"/>
    <row r="193" s="75" customFormat="1" ht="20.25" x14ac:dyDescent="0.3"/>
    <row r="194" s="75" customFormat="1" ht="20.25" x14ac:dyDescent="0.3"/>
    <row r="195" s="75" customFormat="1" ht="20.25" x14ac:dyDescent="0.3"/>
    <row r="196" s="75" customFormat="1" ht="20.25" x14ac:dyDescent="0.3"/>
    <row r="197" s="75" customFormat="1" ht="20.25" x14ac:dyDescent="0.3"/>
    <row r="198" s="75" customFormat="1" ht="20.25" x14ac:dyDescent="0.3"/>
    <row r="199" s="75" customFormat="1" ht="20.25" x14ac:dyDescent="0.3"/>
    <row r="200" s="75" customFormat="1" ht="20.25" x14ac:dyDescent="0.3"/>
    <row r="201" s="75" customFormat="1" ht="20.25" x14ac:dyDescent="0.3"/>
    <row r="202" s="75" customFormat="1" ht="20.25" x14ac:dyDescent="0.3"/>
    <row r="203" s="75" customFormat="1" ht="20.25" x14ac:dyDescent="0.3"/>
    <row r="204" s="75" customFormat="1" ht="20.25" x14ac:dyDescent="0.3"/>
    <row r="205" s="75" customFormat="1" ht="20.25" x14ac:dyDescent="0.3"/>
    <row r="206" s="75" customFormat="1" ht="20.25" x14ac:dyDescent="0.3"/>
    <row r="207" s="75" customFormat="1" ht="20.25" x14ac:dyDescent="0.3"/>
    <row r="208" s="75" customFormat="1" ht="20.25" x14ac:dyDescent="0.3"/>
    <row r="209" s="75" customFormat="1" ht="20.25" x14ac:dyDescent="0.3"/>
    <row r="210" s="75" customFormat="1" ht="20.25" x14ac:dyDescent="0.3"/>
    <row r="211" s="75" customFormat="1" ht="20.25" x14ac:dyDescent="0.3"/>
    <row r="212" s="75" customFormat="1" ht="20.25" x14ac:dyDescent="0.3"/>
    <row r="213" s="75" customFormat="1" ht="20.25" x14ac:dyDescent="0.3"/>
    <row r="214" s="75" customFormat="1" ht="20.25" x14ac:dyDescent="0.3"/>
    <row r="215" s="75" customFormat="1" ht="20.25" x14ac:dyDescent="0.3"/>
    <row r="216" s="75" customFormat="1" ht="20.25" x14ac:dyDescent="0.3"/>
    <row r="217" s="75" customFormat="1" ht="20.25" x14ac:dyDescent="0.3"/>
    <row r="218" s="75" customFormat="1" ht="20.25" x14ac:dyDescent="0.3"/>
    <row r="219" s="75" customFormat="1" ht="20.25" x14ac:dyDescent="0.3"/>
    <row r="220" s="75" customFormat="1" ht="20.25" x14ac:dyDescent="0.3"/>
    <row r="221" s="75" customFormat="1" ht="20.25" x14ac:dyDescent="0.3"/>
    <row r="222" s="75" customFormat="1" ht="20.25" x14ac:dyDescent="0.3"/>
    <row r="223" s="75" customFormat="1" ht="20.25" x14ac:dyDescent="0.3"/>
    <row r="224" s="75" customFormat="1" ht="20.25" x14ac:dyDescent="0.3"/>
    <row r="225" s="75" customFormat="1" ht="20.25" x14ac:dyDescent="0.3"/>
    <row r="226" s="75" customFormat="1" ht="20.25" x14ac:dyDescent="0.3"/>
    <row r="227" s="75" customFormat="1" ht="20.25" x14ac:dyDescent="0.3"/>
    <row r="228" s="75" customFormat="1" ht="20.25" x14ac:dyDescent="0.3"/>
    <row r="229" s="75" customFormat="1" ht="20.25" x14ac:dyDescent="0.3"/>
    <row r="230" s="75" customFormat="1" ht="20.25" x14ac:dyDescent="0.3"/>
    <row r="231" s="75" customFormat="1" ht="20.25" x14ac:dyDescent="0.3"/>
    <row r="232" s="75" customFormat="1" ht="20.25" x14ac:dyDescent="0.3"/>
    <row r="233" s="75" customFormat="1" ht="20.25" x14ac:dyDescent="0.3"/>
    <row r="234" s="75" customFormat="1" ht="20.25" x14ac:dyDescent="0.3"/>
    <row r="235" s="75" customFormat="1" ht="20.25" x14ac:dyDescent="0.3"/>
    <row r="236" s="75" customFormat="1" ht="20.25" x14ac:dyDescent="0.3"/>
    <row r="237" s="75" customFormat="1" ht="20.25" x14ac:dyDescent="0.3"/>
    <row r="238" s="75" customFormat="1" ht="20.25" x14ac:dyDescent="0.3"/>
    <row r="239" s="75" customFormat="1" ht="20.25" x14ac:dyDescent="0.3"/>
    <row r="240" s="75" customFormat="1" ht="20.25" x14ac:dyDescent="0.3"/>
    <row r="241" s="75" customFormat="1" ht="20.25" x14ac:dyDescent="0.3"/>
    <row r="242" s="75" customFormat="1" ht="20.25" x14ac:dyDescent="0.3"/>
    <row r="243" s="75" customFormat="1" ht="20.25" x14ac:dyDescent="0.3"/>
    <row r="244" s="75" customFormat="1" ht="20.25" x14ac:dyDescent="0.3"/>
    <row r="245" s="75" customFormat="1" ht="20.25" x14ac:dyDescent="0.3"/>
    <row r="246" s="75" customFormat="1" ht="20.25" x14ac:dyDescent="0.3"/>
    <row r="247" s="75" customFormat="1" ht="20.25" x14ac:dyDescent="0.3"/>
    <row r="248" s="75" customFormat="1" ht="20.25" x14ac:dyDescent="0.3"/>
    <row r="249" s="75" customFormat="1" ht="20.25" x14ac:dyDescent="0.3"/>
    <row r="250" s="75" customFormat="1" ht="20.25" x14ac:dyDescent="0.3"/>
    <row r="251" s="75" customFormat="1" ht="20.25" x14ac:dyDescent="0.3"/>
    <row r="252" s="75" customFormat="1" ht="20.25" x14ac:dyDescent="0.3"/>
    <row r="253" s="75" customFormat="1" ht="20.25" x14ac:dyDescent="0.3"/>
    <row r="254" s="75" customFormat="1" ht="20.25" x14ac:dyDescent="0.3"/>
    <row r="255" s="75" customFormat="1" ht="20.25" x14ac:dyDescent="0.3"/>
    <row r="256" s="75" customFormat="1" ht="20.25" x14ac:dyDescent="0.3"/>
    <row r="257" spans="13:51" s="75" customFormat="1" ht="20.25" x14ac:dyDescent="0.3"/>
    <row r="258" spans="13:51" s="75" customFormat="1" ht="20.25" x14ac:dyDescent="0.3"/>
    <row r="259" spans="13:51" s="75" customFormat="1" ht="20.25" x14ac:dyDescent="0.3"/>
    <row r="260" spans="13:51" s="75" customFormat="1" ht="20.25" x14ac:dyDescent="0.3"/>
    <row r="261" spans="13:51" s="75" customFormat="1" ht="20.25" x14ac:dyDescent="0.3"/>
    <row r="262" spans="13:51" s="75" customFormat="1" ht="20.25" x14ac:dyDescent="0.3"/>
    <row r="263" spans="13:51" s="75" customFormat="1" ht="20.25" x14ac:dyDescent="0.3"/>
    <row r="264" spans="13:51" s="75" customFormat="1" ht="20.25" x14ac:dyDescent="0.3"/>
    <row r="265" spans="13:51" s="75" customFormat="1" ht="20.25" x14ac:dyDescent="0.3"/>
    <row r="266" spans="13:51" s="75" customFormat="1" ht="20.25" x14ac:dyDescent="0.3"/>
    <row r="267" spans="13:51" s="75" customFormat="1" ht="20.25" x14ac:dyDescent="0.3"/>
    <row r="268" spans="13:51" s="75" customFormat="1" ht="20.25" x14ac:dyDescent="0.3"/>
    <row r="269" spans="13:51" ht="20.25" x14ac:dyDescent="0.3">
      <c r="M269" s="75"/>
      <c r="N269" s="75"/>
      <c r="O269" s="75"/>
      <c r="P269" s="75"/>
      <c r="Q269" s="75"/>
      <c r="R269" s="75"/>
      <c r="S269" s="75"/>
      <c r="T269" s="75"/>
      <c r="U269" s="75"/>
      <c r="V269" s="75"/>
      <c r="W269" s="75"/>
      <c r="X269" s="75"/>
      <c r="Y269" s="75"/>
      <c r="Z269" s="75"/>
      <c r="AA269" s="75"/>
      <c r="AB269" s="75"/>
      <c r="AC269" s="75"/>
      <c r="AD269" s="75"/>
      <c r="AE269" s="75"/>
      <c r="AF269" s="75"/>
      <c r="AG269" s="75"/>
      <c r="AH269" s="75"/>
      <c r="AI269" s="75"/>
      <c r="AJ269" s="75"/>
      <c r="AK269" s="75"/>
      <c r="AL269" s="75"/>
      <c r="AM269" s="75"/>
      <c r="AN269" s="75"/>
      <c r="AO269" s="75"/>
      <c r="AP269" s="75"/>
      <c r="AQ269" s="75"/>
      <c r="AR269" s="75"/>
      <c r="AS269" s="75"/>
      <c r="AT269" s="75"/>
      <c r="AU269" s="75"/>
      <c r="AV269" s="75"/>
      <c r="AW269" s="75"/>
      <c r="AX269" s="75"/>
      <c r="AY269" s="75"/>
    </row>
    <row r="270" spans="13:51" ht="20.25" x14ac:dyDescent="0.3">
      <c r="M270" s="75"/>
      <c r="N270" s="75"/>
      <c r="O270" s="75"/>
      <c r="P270" s="75"/>
      <c r="Q270" s="75"/>
      <c r="R270" s="75"/>
      <c r="S270" s="75"/>
      <c r="T270" s="75"/>
      <c r="U270" s="75"/>
      <c r="V270" s="75"/>
      <c r="W270" s="75"/>
      <c r="X270" s="75"/>
      <c r="Y270" s="75"/>
      <c r="Z270" s="75"/>
      <c r="AA270" s="75"/>
      <c r="AB270" s="75"/>
      <c r="AC270" s="75"/>
      <c r="AD270" s="75"/>
      <c r="AE270" s="75"/>
      <c r="AF270" s="75"/>
      <c r="AG270" s="75"/>
      <c r="AH270" s="75"/>
      <c r="AI270" s="75"/>
      <c r="AJ270" s="75"/>
      <c r="AK270" s="75"/>
      <c r="AL270" s="75"/>
      <c r="AM270" s="75"/>
      <c r="AN270" s="75"/>
      <c r="AO270" s="75"/>
      <c r="AP270" s="75"/>
      <c r="AQ270" s="75"/>
      <c r="AR270" s="75"/>
      <c r="AS270" s="75"/>
      <c r="AT270" s="75"/>
      <c r="AU270" s="75"/>
      <c r="AV270" s="75"/>
      <c r="AW270" s="75"/>
      <c r="AX270" s="75"/>
      <c r="AY270" s="75"/>
    </row>
    <row r="271" spans="13:51" ht="20.25" x14ac:dyDescent="0.3">
      <c r="M271" s="75"/>
      <c r="N271" s="75"/>
      <c r="O271" s="75"/>
      <c r="P271" s="75"/>
      <c r="Q271" s="75"/>
      <c r="R271" s="75"/>
      <c r="S271" s="75"/>
      <c r="T271" s="75"/>
      <c r="U271" s="75"/>
      <c r="V271" s="75"/>
      <c r="W271" s="75"/>
      <c r="X271" s="75"/>
      <c r="Y271" s="75"/>
      <c r="Z271" s="75"/>
      <c r="AA271" s="75"/>
      <c r="AB271" s="75"/>
      <c r="AC271" s="75"/>
      <c r="AD271" s="75"/>
      <c r="AE271" s="75"/>
      <c r="AF271" s="75"/>
      <c r="AG271" s="75"/>
      <c r="AH271" s="75"/>
      <c r="AI271" s="75"/>
      <c r="AJ271" s="75"/>
      <c r="AK271" s="75"/>
      <c r="AL271" s="75"/>
      <c r="AM271" s="75"/>
      <c r="AN271" s="75"/>
      <c r="AO271" s="75"/>
      <c r="AP271" s="75"/>
      <c r="AQ271" s="75"/>
      <c r="AR271" s="75"/>
      <c r="AS271" s="75"/>
      <c r="AT271" s="75"/>
      <c r="AU271" s="75"/>
      <c r="AV271" s="75"/>
      <c r="AW271" s="75"/>
      <c r="AX271" s="75"/>
      <c r="AY271" s="75"/>
    </row>
    <row r="272" spans="13:51" ht="20.25" x14ac:dyDescent="0.3">
      <c r="M272" s="75"/>
      <c r="N272" s="75"/>
      <c r="O272" s="75"/>
      <c r="P272" s="75"/>
      <c r="Q272" s="75"/>
      <c r="R272" s="75"/>
      <c r="S272" s="75"/>
      <c r="T272" s="75"/>
      <c r="U272" s="75"/>
      <c r="V272" s="75"/>
      <c r="W272" s="75"/>
      <c r="X272" s="75"/>
      <c r="Y272" s="75"/>
      <c r="Z272" s="75"/>
      <c r="AA272" s="75"/>
      <c r="AB272" s="75"/>
      <c r="AC272" s="75"/>
      <c r="AD272" s="75"/>
      <c r="AE272" s="75"/>
      <c r="AF272" s="75"/>
      <c r="AG272" s="75"/>
      <c r="AH272" s="75"/>
      <c r="AI272" s="75"/>
      <c r="AJ272" s="75"/>
      <c r="AK272" s="75"/>
      <c r="AL272" s="75"/>
      <c r="AM272" s="75"/>
      <c r="AN272" s="75"/>
      <c r="AO272" s="75"/>
      <c r="AP272" s="75"/>
      <c r="AQ272" s="75"/>
      <c r="AR272" s="75"/>
      <c r="AS272" s="75"/>
      <c r="AT272" s="75"/>
      <c r="AU272" s="75"/>
      <c r="AV272" s="75"/>
      <c r="AW272" s="75"/>
      <c r="AX272" s="75"/>
      <c r="AY272" s="75"/>
    </row>
    <row r="273" spans="13:51" ht="20.25" x14ac:dyDescent="0.3">
      <c r="M273" s="75"/>
      <c r="N273" s="75"/>
      <c r="O273" s="75"/>
      <c r="P273" s="75"/>
      <c r="Q273" s="75"/>
      <c r="R273" s="75"/>
      <c r="S273" s="75"/>
      <c r="T273" s="75"/>
      <c r="U273" s="75"/>
      <c r="V273" s="75"/>
      <c r="W273" s="75"/>
      <c r="X273" s="75"/>
      <c r="Y273" s="75"/>
      <c r="Z273" s="75"/>
      <c r="AA273" s="75"/>
      <c r="AB273" s="75"/>
      <c r="AC273" s="75"/>
      <c r="AD273" s="75"/>
      <c r="AE273" s="75"/>
      <c r="AF273" s="75"/>
      <c r="AG273" s="75"/>
      <c r="AH273" s="75"/>
      <c r="AI273" s="75"/>
      <c r="AJ273" s="75"/>
      <c r="AK273" s="75"/>
      <c r="AL273" s="75"/>
      <c r="AM273" s="75"/>
      <c r="AN273" s="75"/>
      <c r="AO273" s="75"/>
      <c r="AP273" s="75"/>
      <c r="AQ273" s="75"/>
      <c r="AR273" s="75"/>
      <c r="AS273" s="75"/>
      <c r="AT273" s="75"/>
      <c r="AU273" s="75"/>
      <c r="AV273" s="75"/>
      <c r="AW273" s="75"/>
      <c r="AX273" s="75"/>
      <c r="AY273" s="75"/>
    </row>
    <row r="274" spans="13:51" ht="20.25" x14ac:dyDescent="0.3">
      <c r="M274" s="75"/>
      <c r="N274" s="75"/>
      <c r="O274" s="75"/>
      <c r="P274" s="75"/>
      <c r="Q274" s="75"/>
      <c r="R274" s="75"/>
      <c r="S274" s="75"/>
      <c r="T274" s="75"/>
      <c r="U274" s="75"/>
      <c r="V274" s="75"/>
      <c r="W274" s="75"/>
      <c r="X274" s="75"/>
      <c r="Y274" s="75"/>
      <c r="Z274" s="75"/>
      <c r="AA274" s="75"/>
      <c r="AB274" s="75"/>
      <c r="AC274" s="75"/>
      <c r="AD274" s="75"/>
      <c r="AE274" s="75"/>
      <c r="AF274" s="75"/>
      <c r="AG274" s="75"/>
      <c r="AH274" s="75"/>
      <c r="AI274" s="75"/>
      <c r="AJ274" s="75"/>
      <c r="AK274" s="75"/>
      <c r="AL274" s="75"/>
      <c r="AM274" s="75"/>
      <c r="AN274" s="75"/>
      <c r="AO274" s="75"/>
      <c r="AP274" s="75"/>
      <c r="AQ274" s="75"/>
      <c r="AR274" s="75"/>
      <c r="AS274" s="75"/>
      <c r="AT274" s="75"/>
      <c r="AU274" s="75"/>
      <c r="AV274" s="75"/>
      <c r="AW274" s="75"/>
      <c r="AX274" s="75"/>
      <c r="AY274" s="75"/>
    </row>
    <row r="275" spans="13:51" ht="20.25" x14ac:dyDescent="0.3">
      <c r="M275" s="75"/>
      <c r="N275" s="75"/>
      <c r="O275" s="75"/>
      <c r="P275" s="75"/>
      <c r="Q275" s="75"/>
      <c r="R275" s="75"/>
      <c r="S275" s="75"/>
      <c r="T275" s="75"/>
      <c r="U275" s="75"/>
      <c r="V275" s="75"/>
      <c r="W275" s="75"/>
      <c r="X275" s="75"/>
      <c r="Y275" s="75"/>
      <c r="Z275" s="75"/>
      <c r="AA275" s="75"/>
      <c r="AB275" s="75"/>
      <c r="AC275" s="75"/>
      <c r="AD275" s="75"/>
      <c r="AE275" s="75"/>
      <c r="AF275" s="75"/>
      <c r="AG275" s="75"/>
      <c r="AH275" s="75"/>
      <c r="AI275" s="75"/>
      <c r="AJ275" s="75"/>
      <c r="AK275" s="75"/>
      <c r="AL275" s="75"/>
      <c r="AM275" s="75"/>
      <c r="AN275" s="75"/>
      <c r="AO275" s="75"/>
      <c r="AP275" s="75"/>
      <c r="AQ275" s="75"/>
      <c r="AR275" s="75"/>
      <c r="AS275" s="75"/>
      <c r="AT275" s="75"/>
      <c r="AU275" s="75"/>
      <c r="AV275" s="75"/>
      <c r="AW275" s="75"/>
      <c r="AX275" s="75"/>
      <c r="AY275" s="75"/>
    </row>
    <row r="276" spans="13:51" ht="20.25" x14ac:dyDescent="0.3">
      <c r="M276" s="75"/>
      <c r="N276" s="75"/>
      <c r="O276" s="75"/>
      <c r="P276" s="75"/>
      <c r="Q276" s="75"/>
      <c r="R276" s="75"/>
      <c r="S276" s="75"/>
      <c r="T276" s="75"/>
      <c r="U276" s="75"/>
      <c r="V276" s="75"/>
      <c r="W276" s="75"/>
      <c r="X276" s="75"/>
      <c r="Y276" s="75"/>
      <c r="Z276" s="75"/>
      <c r="AA276" s="75"/>
      <c r="AB276" s="75"/>
      <c r="AC276" s="75"/>
      <c r="AD276" s="75"/>
      <c r="AE276" s="75"/>
      <c r="AF276" s="75"/>
      <c r="AG276" s="75"/>
      <c r="AH276" s="75"/>
      <c r="AI276" s="75"/>
      <c r="AJ276" s="75"/>
      <c r="AK276" s="75"/>
      <c r="AL276" s="75"/>
      <c r="AM276" s="75"/>
      <c r="AN276" s="75"/>
      <c r="AO276" s="75"/>
      <c r="AP276" s="75"/>
      <c r="AQ276" s="75"/>
      <c r="AR276" s="75"/>
      <c r="AS276" s="75"/>
      <c r="AT276" s="75"/>
      <c r="AU276" s="75"/>
      <c r="AV276" s="75"/>
      <c r="AW276" s="75"/>
      <c r="AX276" s="75"/>
      <c r="AY276" s="75"/>
    </row>
  </sheetData>
  <sheetProtection formatCells="0" formatColumns="0" formatRows="0" insertColumns="0" insertRows="0" insertHyperlinks="0" deleteColumns="0" deleteRows="0" sort="0" autoFilter="0" pivotTables="0"/>
  <mergeCells count="151">
    <mergeCell ref="P10:P12"/>
    <mergeCell ref="Q10:Y11"/>
    <mergeCell ref="A88:D88"/>
    <mergeCell ref="E88:Y88"/>
    <mergeCell ref="L15:O15"/>
    <mergeCell ref="R13:R14"/>
    <mergeCell ref="S13:S14"/>
    <mergeCell ref="T13:T14"/>
    <mergeCell ref="V13:V14"/>
    <mergeCell ref="Q45:Y45"/>
    <mergeCell ref="A35:Y35"/>
    <mergeCell ref="Q36:Y36"/>
    <mergeCell ref="B12:B14"/>
    <mergeCell ref="C12:C14"/>
    <mergeCell ref="J12:J14"/>
    <mergeCell ref="K12:K14"/>
    <mergeCell ref="L12:L14"/>
    <mergeCell ref="M12:M14"/>
    <mergeCell ref="H11:I12"/>
    <mergeCell ref="H14:I14"/>
    <mergeCell ref="G11:G12"/>
    <mergeCell ref="H15:I15"/>
    <mergeCell ref="A16:Y16"/>
    <mergeCell ref="A50:E50"/>
    <mergeCell ref="A15:E15"/>
    <mergeCell ref="J15:K15"/>
    <mergeCell ref="A53:E53"/>
    <mergeCell ref="A54:E54"/>
    <mergeCell ref="A1:Y6"/>
    <mergeCell ref="A7:Y7"/>
    <mergeCell ref="X8:Y8"/>
    <mergeCell ref="A9:A14"/>
    <mergeCell ref="B9:C11"/>
    <mergeCell ref="D9:D14"/>
    <mergeCell ref="E9:E14"/>
    <mergeCell ref="W13:W14"/>
    <mergeCell ref="X13:X14"/>
    <mergeCell ref="Y13:Y14"/>
    <mergeCell ref="U13:U14"/>
    <mergeCell ref="Q12:T12"/>
    <mergeCell ref="N12:N14"/>
    <mergeCell ref="O12:O14"/>
    <mergeCell ref="P13:P14"/>
    <mergeCell ref="W12:Y12"/>
    <mergeCell ref="M46:P46"/>
    <mergeCell ref="M47:P47"/>
    <mergeCell ref="M48:P48"/>
    <mergeCell ref="J10:O11"/>
    <mergeCell ref="Q13:Q14"/>
    <mergeCell ref="V15:Y15"/>
    <mergeCell ref="P60:R60"/>
    <mergeCell ref="P61:R61"/>
    <mergeCell ref="P62:R62"/>
    <mergeCell ref="P63:R63"/>
    <mergeCell ref="P65:Y65"/>
    <mergeCell ref="P64:Y64"/>
    <mergeCell ref="S73:V73"/>
    <mergeCell ref="Q48:Y48"/>
    <mergeCell ref="A49:Y49"/>
    <mergeCell ref="A51:E51"/>
    <mergeCell ref="Q46:Y46"/>
    <mergeCell ref="Q47:Y47"/>
    <mergeCell ref="Q41:Y41"/>
    <mergeCell ref="Q42:Y42"/>
    <mergeCell ref="Q43:Y43"/>
    <mergeCell ref="A24:Y24"/>
    <mergeCell ref="A55:E55"/>
    <mergeCell ref="A56:E56"/>
    <mergeCell ref="A57:E57"/>
    <mergeCell ref="A52:E52"/>
    <mergeCell ref="Q37:Y37"/>
    <mergeCell ref="Q39:Y39"/>
    <mergeCell ref="AQ91:AT91"/>
    <mergeCell ref="AU91:AX91"/>
    <mergeCell ref="AM91:AP91"/>
    <mergeCell ref="U82:U83"/>
    <mergeCell ref="Q82:Q83"/>
    <mergeCell ref="Q87:Y87"/>
    <mergeCell ref="S74:V74"/>
    <mergeCell ref="P70:R70"/>
    <mergeCell ref="P71:R71"/>
    <mergeCell ref="P74:R74"/>
    <mergeCell ref="S70:V70"/>
    <mergeCell ref="W70:Y70"/>
    <mergeCell ref="W72:Y74"/>
    <mergeCell ref="S72:V72"/>
    <mergeCell ref="P72:R72"/>
    <mergeCell ref="P73:R73"/>
    <mergeCell ref="X84:Y84"/>
    <mergeCell ref="S91:W91"/>
    <mergeCell ref="X91:Z91"/>
    <mergeCell ref="AA91:AD91"/>
    <mergeCell ref="R82:R83"/>
    <mergeCell ref="V82:V83"/>
    <mergeCell ref="T82:T83"/>
    <mergeCell ref="S82:S83"/>
    <mergeCell ref="F45:H45"/>
    <mergeCell ref="F46:H46"/>
    <mergeCell ref="F47:H47"/>
    <mergeCell ref="F48:H48"/>
    <mergeCell ref="AE91:AH91"/>
    <mergeCell ref="AI91:AL91"/>
    <mergeCell ref="M91:M92"/>
    <mergeCell ref="P91:R91"/>
    <mergeCell ref="I45:L45"/>
    <mergeCell ref="I46:L46"/>
    <mergeCell ref="I47:L47"/>
    <mergeCell ref="I48:L48"/>
    <mergeCell ref="M45:P45"/>
    <mergeCell ref="F50:Y50"/>
    <mergeCell ref="A87:D87"/>
    <mergeCell ref="Q84:R84"/>
    <mergeCell ref="P59:Y59"/>
    <mergeCell ref="A85:D85"/>
    <mergeCell ref="W71:Y71"/>
    <mergeCell ref="S71:V71"/>
    <mergeCell ref="S60:Y60"/>
    <mergeCell ref="S61:Y61"/>
    <mergeCell ref="S62:Y62"/>
    <mergeCell ref="S63:Y63"/>
    <mergeCell ref="A86:D86"/>
    <mergeCell ref="A82:D83"/>
    <mergeCell ref="A84:D84"/>
    <mergeCell ref="W82:W83"/>
    <mergeCell ref="X82:X83"/>
    <mergeCell ref="Y82:Y83"/>
    <mergeCell ref="G82:H83"/>
    <mergeCell ref="F9:Y9"/>
    <mergeCell ref="F11:F12"/>
    <mergeCell ref="F14:G14"/>
    <mergeCell ref="F82:F83"/>
    <mergeCell ref="E82:E83"/>
    <mergeCell ref="I82:O82"/>
    <mergeCell ref="L84:N86"/>
    <mergeCell ref="L87:N87"/>
    <mergeCell ref="F51:Y51"/>
    <mergeCell ref="F52:Y52"/>
    <mergeCell ref="F53:Y53"/>
    <mergeCell ref="F54:Y54"/>
    <mergeCell ref="F55:Y55"/>
    <mergeCell ref="F56:Y56"/>
    <mergeCell ref="F57:Y57"/>
    <mergeCell ref="F10:I10"/>
    <mergeCell ref="Q44:Y44"/>
    <mergeCell ref="Q15:T15"/>
    <mergeCell ref="G84:H86"/>
    <mergeCell ref="G87:H87"/>
    <mergeCell ref="P82:P83"/>
    <mergeCell ref="P84:P86"/>
    <mergeCell ref="A40:Y40"/>
    <mergeCell ref="Q38:Y38"/>
  </mergeCells>
  <printOptions horizontalCentered="1"/>
  <pageMargins left="0.31496062992125984" right="0" top="0" bottom="0" header="0" footer="0"/>
  <pageSetup paperSize="9" scale="21" orientation="landscape" r:id="rId1"/>
  <headerFooter alignWithMargins="0">
    <oddFooter>&amp;R&amp;28Стр. &amp;P из  &amp;N
&amp;A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40"/>
  <sheetViews>
    <sheetView topLeftCell="E27" zoomScaleNormal="100" zoomScaleSheetLayoutView="40" workbookViewId="0">
      <selection sqref="A1:C2"/>
    </sheetView>
  </sheetViews>
  <sheetFormatPr defaultRowHeight="12.75" x14ac:dyDescent="0.2"/>
  <cols>
    <col min="1" max="1" width="36.5703125" style="77" customWidth="1"/>
    <col min="2" max="2" width="41.5703125" style="959" customWidth="1"/>
    <col min="3" max="3" width="32.7109375" style="77" customWidth="1"/>
    <col min="4" max="4" width="18.5703125" style="77" customWidth="1"/>
    <col min="5" max="5" width="6.5703125" style="77" customWidth="1"/>
    <col min="6" max="6" width="13" style="77" customWidth="1"/>
    <col min="7" max="7" width="2.42578125" style="77" customWidth="1"/>
    <col min="8" max="8" width="37.7109375" style="77" customWidth="1"/>
    <col min="9" max="9" width="41.5703125" style="77" customWidth="1"/>
    <col min="10" max="10" width="27.5703125" style="77" customWidth="1"/>
    <col min="11" max="11" width="18.7109375" style="77" customWidth="1"/>
    <col min="12" max="12" width="6.7109375" style="77" customWidth="1"/>
    <col min="13" max="13" width="12.85546875" style="77" customWidth="1"/>
    <col min="14" max="256" width="9.140625" style="77"/>
    <col min="257" max="257" width="36.5703125" style="77" customWidth="1"/>
    <col min="258" max="258" width="41.5703125" style="77" customWidth="1"/>
    <col min="259" max="259" width="32.7109375" style="77" customWidth="1"/>
    <col min="260" max="260" width="18.5703125" style="77" customWidth="1"/>
    <col min="261" max="261" width="6.5703125" style="77" customWidth="1"/>
    <col min="262" max="262" width="13" style="77" customWidth="1"/>
    <col min="263" max="263" width="2.42578125" style="77" customWidth="1"/>
    <col min="264" max="264" width="37.7109375" style="77" customWidth="1"/>
    <col min="265" max="265" width="41.5703125" style="77" customWidth="1"/>
    <col min="266" max="266" width="27.5703125" style="77" customWidth="1"/>
    <col min="267" max="267" width="18.7109375" style="77" customWidth="1"/>
    <col min="268" max="268" width="6.7109375" style="77" customWidth="1"/>
    <col min="269" max="269" width="12.85546875" style="77" customWidth="1"/>
    <col min="270" max="512" width="9.140625" style="77"/>
    <col min="513" max="513" width="36.5703125" style="77" customWidth="1"/>
    <col min="514" max="514" width="41.5703125" style="77" customWidth="1"/>
    <col min="515" max="515" width="32.7109375" style="77" customWidth="1"/>
    <col min="516" max="516" width="18.5703125" style="77" customWidth="1"/>
    <col min="517" max="517" width="6.5703125" style="77" customWidth="1"/>
    <col min="518" max="518" width="13" style="77" customWidth="1"/>
    <col min="519" max="519" width="2.42578125" style="77" customWidth="1"/>
    <col min="520" max="520" width="37.7109375" style="77" customWidth="1"/>
    <col min="521" max="521" width="41.5703125" style="77" customWidth="1"/>
    <col min="522" max="522" width="27.5703125" style="77" customWidth="1"/>
    <col min="523" max="523" width="18.7109375" style="77" customWidth="1"/>
    <col min="524" max="524" width="6.7109375" style="77" customWidth="1"/>
    <col min="525" max="525" width="12.85546875" style="77" customWidth="1"/>
    <col min="526" max="768" width="9.140625" style="77"/>
    <col min="769" max="769" width="36.5703125" style="77" customWidth="1"/>
    <col min="770" max="770" width="41.5703125" style="77" customWidth="1"/>
    <col min="771" max="771" width="32.7109375" style="77" customWidth="1"/>
    <col min="772" max="772" width="18.5703125" style="77" customWidth="1"/>
    <col min="773" max="773" width="6.5703125" style="77" customWidth="1"/>
    <col min="774" max="774" width="13" style="77" customWidth="1"/>
    <col min="775" max="775" width="2.42578125" style="77" customWidth="1"/>
    <col min="776" max="776" width="37.7109375" style="77" customWidth="1"/>
    <col min="777" max="777" width="41.5703125" style="77" customWidth="1"/>
    <col min="778" max="778" width="27.5703125" style="77" customWidth="1"/>
    <col min="779" max="779" width="18.7109375" style="77" customWidth="1"/>
    <col min="780" max="780" width="6.7109375" style="77" customWidth="1"/>
    <col min="781" max="781" width="12.85546875" style="77" customWidth="1"/>
    <col min="782" max="1024" width="9.140625" style="77"/>
    <col min="1025" max="1025" width="36.5703125" style="77" customWidth="1"/>
    <col min="1026" max="1026" width="41.5703125" style="77" customWidth="1"/>
    <col min="1027" max="1027" width="32.7109375" style="77" customWidth="1"/>
    <col min="1028" max="1028" width="18.5703125" style="77" customWidth="1"/>
    <col min="1029" max="1029" width="6.5703125" style="77" customWidth="1"/>
    <col min="1030" max="1030" width="13" style="77" customWidth="1"/>
    <col min="1031" max="1031" width="2.42578125" style="77" customWidth="1"/>
    <col min="1032" max="1032" width="37.7109375" style="77" customWidth="1"/>
    <col min="1033" max="1033" width="41.5703125" style="77" customWidth="1"/>
    <col min="1034" max="1034" width="27.5703125" style="77" customWidth="1"/>
    <col min="1035" max="1035" width="18.7109375" style="77" customWidth="1"/>
    <col min="1036" max="1036" width="6.7109375" style="77" customWidth="1"/>
    <col min="1037" max="1037" width="12.85546875" style="77" customWidth="1"/>
    <col min="1038" max="1280" width="9.140625" style="77"/>
    <col min="1281" max="1281" width="36.5703125" style="77" customWidth="1"/>
    <col min="1282" max="1282" width="41.5703125" style="77" customWidth="1"/>
    <col min="1283" max="1283" width="32.7109375" style="77" customWidth="1"/>
    <col min="1284" max="1284" width="18.5703125" style="77" customWidth="1"/>
    <col min="1285" max="1285" width="6.5703125" style="77" customWidth="1"/>
    <col min="1286" max="1286" width="13" style="77" customWidth="1"/>
    <col min="1287" max="1287" width="2.42578125" style="77" customWidth="1"/>
    <col min="1288" max="1288" width="37.7109375" style="77" customWidth="1"/>
    <col min="1289" max="1289" width="41.5703125" style="77" customWidth="1"/>
    <col min="1290" max="1290" width="27.5703125" style="77" customWidth="1"/>
    <col min="1291" max="1291" width="18.7109375" style="77" customWidth="1"/>
    <col min="1292" max="1292" width="6.7109375" style="77" customWidth="1"/>
    <col min="1293" max="1293" width="12.85546875" style="77" customWidth="1"/>
    <col min="1294" max="1536" width="9.140625" style="77"/>
    <col min="1537" max="1537" width="36.5703125" style="77" customWidth="1"/>
    <col min="1538" max="1538" width="41.5703125" style="77" customWidth="1"/>
    <col min="1539" max="1539" width="32.7109375" style="77" customWidth="1"/>
    <col min="1540" max="1540" width="18.5703125" style="77" customWidth="1"/>
    <col min="1541" max="1541" width="6.5703125" style="77" customWidth="1"/>
    <col min="1542" max="1542" width="13" style="77" customWidth="1"/>
    <col min="1543" max="1543" width="2.42578125" style="77" customWidth="1"/>
    <col min="1544" max="1544" width="37.7109375" style="77" customWidth="1"/>
    <col min="1545" max="1545" width="41.5703125" style="77" customWidth="1"/>
    <col min="1546" max="1546" width="27.5703125" style="77" customWidth="1"/>
    <col min="1547" max="1547" width="18.7109375" style="77" customWidth="1"/>
    <col min="1548" max="1548" width="6.7109375" style="77" customWidth="1"/>
    <col min="1549" max="1549" width="12.85546875" style="77" customWidth="1"/>
    <col min="1550" max="1792" width="9.140625" style="77"/>
    <col min="1793" max="1793" width="36.5703125" style="77" customWidth="1"/>
    <col min="1794" max="1794" width="41.5703125" style="77" customWidth="1"/>
    <col min="1795" max="1795" width="32.7109375" style="77" customWidth="1"/>
    <col min="1796" max="1796" width="18.5703125" style="77" customWidth="1"/>
    <col min="1797" max="1797" width="6.5703125" style="77" customWidth="1"/>
    <col min="1798" max="1798" width="13" style="77" customWidth="1"/>
    <col min="1799" max="1799" width="2.42578125" style="77" customWidth="1"/>
    <col min="1800" max="1800" width="37.7109375" style="77" customWidth="1"/>
    <col min="1801" max="1801" width="41.5703125" style="77" customWidth="1"/>
    <col min="1802" max="1802" width="27.5703125" style="77" customWidth="1"/>
    <col min="1803" max="1803" width="18.7109375" style="77" customWidth="1"/>
    <col min="1804" max="1804" width="6.7109375" style="77" customWidth="1"/>
    <col min="1805" max="1805" width="12.85546875" style="77" customWidth="1"/>
    <col min="1806" max="2048" width="9.140625" style="77"/>
    <col min="2049" max="2049" width="36.5703125" style="77" customWidth="1"/>
    <col min="2050" max="2050" width="41.5703125" style="77" customWidth="1"/>
    <col min="2051" max="2051" width="32.7109375" style="77" customWidth="1"/>
    <col min="2052" max="2052" width="18.5703125" style="77" customWidth="1"/>
    <col min="2053" max="2053" width="6.5703125" style="77" customWidth="1"/>
    <col min="2054" max="2054" width="13" style="77" customWidth="1"/>
    <col min="2055" max="2055" width="2.42578125" style="77" customWidth="1"/>
    <col min="2056" max="2056" width="37.7109375" style="77" customWidth="1"/>
    <col min="2057" max="2057" width="41.5703125" style="77" customWidth="1"/>
    <col min="2058" max="2058" width="27.5703125" style="77" customWidth="1"/>
    <col min="2059" max="2059" width="18.7109375" style="77" customWidth="1"/>
    <col min="2060" max="2060" width="6.7109375" style="77" customWidth="1"/>
    <col min="2061" max="2061" width="12.85546875" style="77" customWidth="1"/>
    <col min="2062" max="2304" width="9.140625" style="77"/>
    <col min="2305" max="2305" width="36.5703125" style="77" customWidth="1"/>
    <col min="2306" max="2306" width="41.5703125" style="77" customWidth="1"/>
    <col min="2307" max="2307" width="32.7109375" style="77" customWidth="1"/>
    <col min="2308" max="2308" width="18.5703125" style="77" customWidth="1"/>
    <col min="2309" max="2309" width="6.5703125" style="77" customWidth="1"/>
    <col min="2310" max="2310" width="13" style="77" customWidth="1"/>
    <col min="2311" max="2311" width="2.42578125" style="77" customWidth="1"/>
    <col min="2312" max="2312" width="37.7109375" style="77" customWidth="1"/>
    <col min="2313" max="2313" width="41.5703125" style="77" customWidth="1"/>
    <col min="2314" max="2314" width="27.5703125" style="77" customWidth="1"/>
    <col min="2315" max="2315" width="18.7109375" style="77" customWidth="1"/>
    <col min="2316" max="2316" width="6.7109375" style="77" customWidth="1"/>
    <col min="2317" max="2317" width="12.85546875" style="77" customWidth="1"/>
    <col min="2318" max="2560" width="9.140625" style="77"/>
    <col min="2561" max="2561" width="36.5703125" style="77" customWidth="1"/>
    <col min="2562" max="2562" width="41.5703125" style="77" customWidth="1"/>
    <col min="2563" max="2563" width="32.7109375" style="77" customWidth="1"/>
    <col min="2564" max="2564" width="18.5703125" style="77" customWidth="1"/>
    <col min="2565" max="2565" width="6.5703125" style="77" customWidth="1"/>
    <col min="2566" max="2566" width="13" style="77" customWidth="1"/>
    <col min="2567" max="2567" width="2.42578125" style="77" customWidth="1"/>
    <col min="2568" max="2568" width="37.7109375" style="77" customWidth="1"/>
    <col min="2569" max="2569" width="41.5703125" style="77" customWidth="1"/>
    <col min="2570" max="2570" width="27.5703125" style="77" customWidth="1"/>
    <col min="2571" max="2571" width="18.7109375" style="77" customWidth="1"/>
    <col min="2572" max="2572" width="6.7109375" style="77" customWidth="1"/>
    <col min="2573" max="2573" width="12.85546875" style="77" customWidth="1"/>
    <col min="2574" max="2816" width="9.140625" style="77"/>
    <col min="2817" max="2817" width="36.5703125" style="77" customWidth="1"/>
    <col min="2818" max="2818" width="41.5703125" style="77" customWidth="1"/>
    <col min="2819" max="2819" width="32.7109375" style="77" customWidth="1"/>
    <col min="2820" max="2820" width="18.5703125" style="77" customWidth="1"/>
    <col min="2821" max="2821" width="6.5703125" style="77" customWidth="1"/>
    <col min="2822" max="2822" width="13" style="77" customWidth="1"/>
    <col min="2823" max="2823" width="2.42578125" style="77" customWidth="1"/>
    <col min="2824" max="2824" width="37.7109375" style="77" customWidth="1"/>
    <col min="2825" max="2825" width="41.5703125" style="77" customWidth="1"/>
    <col min="2826" max="2826" width="27.5703125" style="77" customWidth="1"/>
    <col min="2827" max="2827" width="18.7109375" style="77" customWidth="1"/>
    <col min="2828" max="2828" width="6.7109375" style="77" customWidth="1"/>
    <col min="2829" max="2829" width="12.85546875" style="77" customWidth="1"/>
    <col min="2830" max="3072" width="9.140625" style="77"/>
    <col min="3073" max="3073" width="36.5703125" style="77" customWidth="1"/>
    <col min="3074" max="3074" width="41.5703125" style="77" customWidth="1"/>
    <col min="3075" max="3075" width="32.7109375" style="77" customWidth="1"/>
    <col min="3076" max="3076" width="18.5703125" style="77" customWidth="1"/>
    <col min="3077" max="3077" width="6.5703125" style="77" customWidth="1"/>
    <col min="3078" max="3078" width="13" style="77" customWidth="1"/>
    <col min="3079" max="3079" width="2.42578125" style="77" customWidth="1"/>
    <col min="3080" max="3080" width="37.7109375" style="77" customWidth="1"/>
    <col min="3081" max="3081" width="41.5703125" style="77" customWidth="1"/>
    <col min="3082" max="3082" width="27.5703125" style="77" customWidth="1"/>
    <col min="3083" max="3083" width="18.7109375" style="77" customWidth="1"/>
    <col min="3084" max="3084" width="6.7109375" style="77" customWidth="1"/>
    <col min="3085" max="3085" width="12.85546875" style="77" customWidth="1"/>
    <col min="3086" max="3328" width="9.140625" style="77"/>
    <col min="3329" max="3329" width="36.5703125" style="77" customWidth="1"/>
    <col min="3330" max="3330" width="41.5703125" style="77" customWidth="1"/>
    <col min="3331" max="3331" width="32.7109375" style="77" customWidth="1"/>
    <col min="3332" max="3332" width="18.5703125" style="77" customWidth="1"/>
    <col min="3333" max="3333" width="6.5703125" style="77" customWidth="1"/>
    <col min="3334" max="3334" width="13" style="77" customWidth="1"/>
    <col min="3335" max="3335" width="2.42578125" style="77" customWidth="1"/>
    <col min="3336" max="3336" width="37.7109375" style="77" customWidth="1"/>
    <col min="3337" max="3337" width="41.5703125" style="77" customWidth="1"/>
    <col min="3338" max="3338" width="27.5703125" style="77" customWidth="1"/>
    <col min="3339" max="3339" width="18.7109375" style="77" customWidth="1"/>
    <col min="3340" max="3340" width="6.7109375" style="77" customWidth="1"/>
    <col min="3341" max="3341" width="12.85546875" style="77" customWidth="1"/>
    <col min="3342" max="3584" width="9.140625" style="77"/>
    <col min="3585" max="3585" width="36.5703125" style="77" customWidth="1"/>
    <col min="3586" max="3586" width="41.5703125" style="77" customWidth="1"/>
    <col min="3587" max="3587" width="32.7109375" style="77" customWidth="1"/>
    <col min="3588" max="3588" width="18.5703125" style="77" customWidth="1"/>
    <col min="3589" max="3589" width="6.5703125" style="77" customWidth="1"/>
    <col min="3590" max="3590" width="13" style="77" customWidth="1"/>
    <col min="3591" max="3591" width="2.42578125" style="77" customWidth="1"/>
    <col min="3592" max="3592" width="37.7109375" style="77" customWidth="1"/>
    <col min="3593" max="3593" width="41.5703125" style="77" customWidth="1"/>
    <col min="3594" max="3594" width="27.5703125" style="77" customWidth="1"/>
    <col min="3595" max="3595" width="18.7109375" style="77" customWidth="1"/>
    <col min="3596" max="3596" width="6.7109375" style="77" customWidth="1"/>
    <col min="3597" max="3597" width="12.85546875" style="77" customWidth="1"/>
    <col min="3598" max="3840" width="9.140625" style="77"/>
    <col min="3841" max="3841" width="36.5703125" style="77" customWidth="1"/>
    <col min="3842" max="3842" width="41.5703125" style="77" customWidth="1"/>
    <col min="3843" max="3843" width="32.7109375" style="77" customWidth="1"/>
    <col min="3844" max="3844" width="18.5703125" style="77" customWidth="1"/>
    <col min="3845" max="3845" width="6.5703125" style="77" customWidth="1"/>
    <col min="3846" max="3846" width="13" style="77" customWidth="1"/>
    <col min="3847" max="3847" width="2.42578125" style="77" customWidth="1"/>
    <col min="3848" max="3848" width="37.7109375" style="77" customWidth="1"/>
    <col min="3849" max="3849" width="41.5703125" style="77" customWidth="1"/>
    <col min="3850" max="3850" width="27.5703125" style="77" customWidth="1"/>
    <col min="3851" max="3851" width="18.7109375" style="77" customWidth="1"/>
    <col min="3852" max="3852" width="6.7109375" style="77" customWidth="1"/>
    <col min="3853" max="3853" width="12.85546875" style="77" customWidth="1"/>
    <col min="3854" max="4096" width="9.140625" style="77"/>
    <col min="4097" max="4097" width="36.5703125" style="77" customWidth="1"/>
    <col min="4098" max="4098" width="41.5703125" style="77" customWidth="1"/>
    <col min="4099" max="4099" width="32.7109375" style="77" customWidth="1"/>
    <col min="4100" max="4100" width="18.5703125" style="77" customWidth="1"/>
    <col min="4101" max="4101" width="6.5703125" style="77" customWidth="1"/>
    <col min="4102" max="4102" width="13" style="77" customWidth="1"/>
    <col min="4103" max="4103" width="2.42578125" style="77" customWidth="1"/>
    <col min="4104" max="4104" width="37.7109375" style="77" customWidth="1"/>
    <col min="4105" max="4105" width="41.5703125" style="77" customWidth="1"/>
    <col min="4106" max="4106" width="27.5703125" style="77" customWidth="1"/>
    <col min="4107" max="4107" width="18.7109375" style="77" customWidth="1"/>
    <col min="4108" max="4108" width="6.7109375" style="77" customWidth="1"/>
    <col min="4109" max="4109" width="12.85546875" style="77" customWidth="1"/>
    <col min="4110" max="4352" width="9.140625" style="77"/>
    <col min="4353" max="4353" width="36.5703125" style="77" customWidth="1"/>
    <col min="4354" max="4354" width="41.5703125" style="77" customWidth="1"/>
    <col min="4355" max="4355" width="32.7109375" style="77" customWidth="1"/>
    <col min="4356" max="4356" width="18.5703125" style="77" customWidth="1"/>
    <col min="4357" max="4357" width="6.5703125" style="77" customWidth="1"/>
    <col min="4358" max="4358" width="13" style="77" customWidth="1"/>
    <col min="4359" max="4359" width="2.42578125" style="77" customWidth="1"/>
    <col min="4360" max="4360" width="37.7109375" style="77" customWidth="1"/>
    <col min="4361" max="4361" width="41.5703125" style="77" customWidth="1"/>
    <col min="4362" max="4362" width="27.5703125" style="77" customWidth="1"/>
    <col min="4363" max="4363" width="18.7109375" style="77" customWidth="1"/>
    <col min="4364" max="4364" width="6.7109375" style="77" customWidth="1"/>
    <col min="4365" max="4365" width="12.85546875" style="77" customWidth="1"/>
    <col min="4366" max="4608" width="9.140625" style="77"/>
    <col min="4609" max="4609" width="36.5703125" style="77" customWidth="1"/>
    <col min="4610" max="4610" width="41.5703125" style="77" customWidth="1"/>
    <col min="4611" max="4611" width="32.7109375" style="77" customWidth="1"/>
    <col min="4612" max="4612" width="18.5703125" style="77" customWidth="1"/>
    <col min="4613" max="4613" width="6.5703125" style="77" customWidth="1"/>
    <col min="4614" max="4614" width="13" style="77" customWidth="1"/>
    <col min="4615" max="4615" width="2.42578125" style="77" customWidth="1"/>
    <col min="4616" max="4616" width="37.7109375" style="77" customWidth="1"/>
    <col min="4617" max="4617" width="41.5703125" style="77" customWidth="1"/>
    <col min="4618" max="4618" width="27.5703125" style="77" customWidth="1"/>
    <col min="4619" max="4619" width="18.7109375" style="77" customWidth="1"/>
    <col min="4620" max="4620" width="6.7109375" style="77" customWidth="1"/>
    <col min="4621" max="4621" width="12.85546875" style="77" customWidth="1"/>
    <col min="4622" max="4864" width="9.140625" style="77"/>
    <col min="4865" max="4865" width="36.5703125" style="77" customWidth="1"/>
    <col min="4866" max="4866" width="41.5703125" style="77" customWidth="1"/>
    <col min="4867" max="4867" width="32.7109375" style="77" customWidth="1"/>
    <col min="4868" max="4868" width="18.5703125" style="77" customWidth="1"/>
    <col min="4869" max="4869" width="6.5703125" style="77" customWidth="1"/>
    <col min="4870" max="4870" width="13" style="77" customWidth="1"/>
    <col min="4871" max="4871" width="2.42578125" style="77" customWidth="1"/>
    <col min="4872" max="4872" width="37.7109375" style="77" customWidth="1"/>
    <col min="4873" max="4873" width="41.5703125" style="77" customWidth="1"/>
    <col min="4874" max="4874" width="27.5703125" style="77" customWidth="1"/>
    <col min="4875" max="4875" width="18.7109375" style="77" customWidth="1"/>
    <col min="4876" max="4876" width="6.7109375" style="77" customWidth="1"/>
    <col min="4877" max="4877" width="12.85546875" style="77" customWidth="1"/>
    <col min="4878" max="5120" width="9.140625" style="77"/>
    <col min="5121" max="5121" width="36.5703125" style="77" customWidth="1"/>
    <col min="5122" max="5122" width="41.5703125" style="77" customWidth="1"/>
    <col min="5123" max="5123" width="32.7109375" style="77" customWidth="1"/>
    <col min="5124" max="5124" width="18.5703125" style="77" customWidth="1"/>
    <col min="5125" max="5125" width="6.5703125" style="77" customWidth="1"/>
    <col min="5126" max="5126" width="13" style="77" customWidth="1"/>
    <col min="5127" max="5127" width="2.42578125" style="77" customWidth="1"/>
    <col min="5128" max="5128" width="37.7109375" style="77" customWidth="1"/>
    <col min="5129" max="5129" width="41.5703125" style="77" customWidth="1"/>
    <col min="5130" max="5130" width="27.5703125" style="77" customWidth="1"/>
    <col min="5131" max="5131" width="18.7109375" style="77" customWidth="1"/>
    <col min="5132" max="5132" width="6.7109375" style="77" customWidth="1"/>
    <col min="5133" max="5133" width="12.85546875" style="77" customWidth="1"/>
    <col min="5134" max="5376" width="9.140625" style="77"/>
    <col min="5377" max="5377" width="36.5703125" style="77" customWidth="1"/>
    <col min="5378" max="5378" width="41.5703125" style="77" customWidth="1"/>
    <col min="5379" max="5379" width="32.7109375" style="77" customWidth="1"/>
    <col min="5380" max="5380" width="18.5703125" style="77" customWidth="1"/>
    <col min="5381" max="5381" width="6.5703125" style="77" customWidth="1"/>
    <col min="5382" max="5382" width="13" style="77" customWidth="1"/>
    <col min="5383" max="5383" width="2.42578125" style="77" customWidth="1"/>
    <col min="5384" max="5384" width="37.7109375" style="77" customWidth="1"/>
    <col min="5385" max="5385" width="41.5703125" style="77" customWidth="1"/>
    <col min="5386" max="5386" width="27.5703125" style="77" customWidth="1"/>
    <col min="5387" max="5387" width="18.7109375" style="77" customWidth="1"/>
    <col min="5388" max="5388" width="6.7109375" style="77" customWidth="1"/>
    <col min="5389" max="5389" width="12.85546875" style="77" customWidth="1"/>
    <col min="5390" max="5632" width="9.140625" style="77"/>
    <col min="5633" max="5633" width="36.5703125" style="77" customWidth="1"/>
    <col min="5634" max="5634" width="41.5703125" style="77" customWidth="1"/>
    <col min="5635" max="5635" width="32.7109375" style="77" customWidth="1"/>
    <col min="5636" max="5636" width="18.5703125" style="77" customWidth="1"/>
    <col min="5637" max="5637" width="6.5703125" style="77" customWidth="1"/>
    <col min="5638" max="5638" width="13" style="77" customWidth="1"/>
    <col min="5639" max="5639" width="2.42578125" style="77" customWidth="1"/>
    <col min="5640" max="5640" width="37.7109375" style="77" customWidth="1"/>
    <col min="5641" max="5641" width="41.5703125" style="77" customWidth="1"/>
    <col min="5642" max="5642" width="27.5703125" style="77" customWidth="1"/>
    <col min="5643" max="5643" width="18.7109375" style="77" customWidth="1"/>
    <col min="5644" max="5644" width="6.7109375" style="77" customWidth="1"/>
    <col min="5645" max="5645" width="12.85546875" style="77" customWidth="1"/>
    <col min="5646" max="5888" width="9.140625" style="77"/>
    <col min="5889" max="5889" width="36.5703125" style="77" customWidth="1"/>
    <col min="5890" max="5890" width="41.5703125" style="77" customWidth="1"/>
    <col min="5891" max="5891" width="32.7109375" style="77" customWidth="1"/>
    <col min="5892" max="5892" width="18.5703125" style="77" customWidth="1"/>
    <col min="5893" max="5893" width="6.5703125" style="77" customWidth="1"/>
    <col min="5894" max="5894" width="13" style="77" customWidth="1"/>
    <col min="5895" max="5895" width="2.42578125" style="77" customWidth="1"/>
    <col min="5896" max="5896" width="37.7109375" style="77" customWidth="1"/>
    <col min="5897" max="5897" width="41.5703125" style="77" customWidth="1"/>
    <col min="5898" max="5898" width="27.5703125" style="77" customWidth="1"/>
    <col min="5899" max="5899" width="18.7109375" style="77" customWidth="1"/>
    <col min="5900" max="5900" width="6.7109375" style="77" customWidth="1"/>
    <col min="5901" max="5901" width="12.85546875" style="77" customWidth="1"/>
    <col min="5902" max="6144" width="9.140625" style="77"/>
    <col min="6145" max="6145" width="36.5703125" style="77" customWidth="1"/>
    <col min="6146" max="6146" width="41.5703125" style="77" customWidth="1"/>
    <col min="6147" max="6147" width="32.7109375" style="77" customWidth="1"/>
    <col min="6148" max="6148" width="18.5703125" style="77" customWidth="1"/>
    <col min="6149" max="6149" width="6.5703125" style="77" customWidth="1"/>
    <col min="6150" max="6150" width="13" style="77" customWidth="1"/>
    <col min="6151" max="6151" width="2.42578125" style="77" customWidth="1"/>
    <col min="6152" max="6152" width="37.7109375" style="77" customWidth="1"/>
    <col min="6153" max="6153" width="41.5703125" style="77" customWidth="1"/>
    <col min="6154" max="6154" width="27.5703125" style="77" customWidth="1"/>
    <col min="6155" max="6155" width="18.7109375" style="77" customWidth="1"/>
    <col min="6156" max="6156" width="6.7109375" style="77" customWidth="1"/>
    <col min="6157" max="6157" width="12.85546875" style="77" customWidth="1"/>
    <col min="6158" max="6400" width="9.140625" style="77"/>
    <col min="6401" max="6401" width="36.5703125" style="77" customWidth="1"/>
    <col min="6402" max="6402" width="41.5703125" style="77" customWidth="1"/>
    <col min="6403" max="6403" width="32.7109375" style="77" customWidth="1"/>
    <col min="6404" max="6404" width="18.5703125" style="77" customWidth="1"/>
    <col min="6405" max="6405" width="6.5703125" style="77" customWidth="1"/>
    <col min="6406" max="6406" width="13" style="77" customWidth="1"/>
    <col min="6407" max="6407" width="2.42578125" style="77" customWidth="1"/>
    <col min="6408" max="6408" width="37.7109375" style="77" customWidth="1"/>
    <col min="6409" max="6409" width="41.5703125" style="77" customWidth="1"/>
    <col min="6410" max="6410" width="27.5703125" style="77" customWidth="1"/>
    <col min="6411" max="6411" width="18.7109375" style="77" customWidth="1"/>
    <col min="6412" max="6412" width="6.7109375" style="77" customWidth="1"/>
    <col min="6413" max="6413" width="12.85546875" style="77" customWidth="1"/>
    <col min="6414" max="6656" width="9.140625" style="77"/>
    <col min="6657" max="6657" width="36.5703125" style="77" customWidth="1"/>
    <col min="6658" max="6658" width="41.5703125" style="77" customWidth="1"/>
    <col min="6659" max="6659" width="32.7109375" style="77" customWidth="1"/>
    <col min="6660" max="6660" width="18.5703125" style="77" customWidth="1"/>
    <col min="6661" max="6661" width="6.5703125" style="77" customWidth="1"/>
    <col min="6662" max="6662" width="13" style="77" customWidth="1"/>
    <col min="6663" max="6663" width="2.42578125" style="77" customWidth="1"/>
    <col min="6664" max="6664" width="37.7109375" style="77" customWidth="1"/>
    <col min="6665" max="6665" width="41.5703125" style="77" customWidth="1"/>
    <col min="6666" max="6666" width="27.5703125" style="77" customWidth="1"/>
    <col min="6667" max="6667" width="18.7109375" style="77" customWidth="1"/>
    <col min="6668" max="6668" width="6.7109375" style="77" customWidth="1"/>
    <col min="6669" max="6669" width="12.85546875" style="77" customWidth="1"/>
    <col min="6670" max="6912" width="9.140625" style="77"/>
    <col min="6913" max="6913" width="36.5703125" style="77" customWidth="1"/>
    <col min="6914" max="6914" width="41.5703125" style="77" customWidth="1"/>
    <col min="6915" max="6915" width="32.7109375" style="77" customWidth="1"/>
    <col min="6916" max="6916" width="18.5703125" style="77" customWidth="1"/>
    <col min="6917" max="6917" width="6.5703125" style="77" customWidth="1"/>
    <col min="6918" max="6918" width="13" style="77" customWidth="1"/>
    <col min="6919" max="6919" width="2.42578125" style="77" customWidth="1"/>
    <col min="6920" max="6920" width="37.7109375" style="77" customWidth="1"/>
    <col min="6921" max="6921" width="41.5703125" style="77" customWidth="1"/>
    <col min="6922" max="6922" width="27.5703125" style="77" customWidth="1"/>
    <col min="6923" max="6923" width="18.7109375" style="77" customWidth="1"/>
    <col min="6924" max="6924" width="6.7109375" style="77" customWidth="1"/>
    <col min="6925" max="6925" width="12.85546875" style="77" customWidth="1"/>
    <col min="6926" max="7168" width="9.140625" style="77"/>
    <col min="7169" max="7169" width="36.5703125" style="77" customWidth="1"/>
    <col min="7170" max="7170" width="41.5703125" style="77" customWidth="1"/>
    <col min="7171" max="7171" width="32.7109375" style="77" customWidth="1"/>
    <col min="7172" max="7172" width="18.5703125" style="77" customWidth="1"/>
    <col min="7173" max="7173" width="6.5703125" style="77" customWidth="1"/>
    <col min="7174" max="7174" width="13" style="77" customWidth="1"/>
    <col min="7175" max="7175" width="2.42578125" style="77" customWidth="1"/>
    <col min="7176" max="7176" width="37.7109375" style="77" customWidth="1"/>
    <col min="7177" max="7177" width="41.5703125" style="77" customWidth="1"/>
    <col min="7178" max="7178" width="27.5703125" style="77" customWidth="1"/>
    <col min="7179" max="7179" width="18.7109375" style="77" customWidth="1"/>
    <col min="7180" max="7180" width="6.7109375" style="77" customWidth="1"/>
    <col min="7181" max="7181" width="12.85546875" style="77" customWidth="1"/>
    <col min="7182" max="7424" width="9.140625" style="77"/>
    <col min="7425" max="7425" width="36.5703125" style="77" customWidth="1"/>
    <col min="7426" max="7426" width="41.5703125" style="77" customWidth="1"/>
    <col min="7427" max="7427" width="32.7109375" style="77" customWidth="1"/>
    <col min="7428" max="7428" width="18.5703125" style="77" customWidth="1"/>
    <col min="7429" max="7429" width="6.5703125" style="77" customWidth="1"/>
    <col min="7430" max="7430" width="13" style="77" customWidth="1"/>
    <col min="7431" max="7431" width="2.42578125" style="77" customWidth="1"/>
    <col min="7432" max="7432" width="37.7109375" style="77" customWidth="1"/>
    <col min="7433" max="7433" width="41.5703125" style="77" customWidth="1"/>
    <col min="7434" max="7434" width="27.5703125" style="77" customWidth="1"/>
    <col min="7435" max="7435" width="18.7109375" style="77" customWidth="1"/>
    <col min="7436" max="7436" width="6.7109375" style="77" customWidth="1"/>
    <col min="7437" max="7437" width="12.85546875" style="77" customWidth="1"/>
    <col min="7438" max="7680" width="9.140625" style="77"/>
    <col min="7681" max="7681" width="36.5703125" style="77" customWidth="1"/>
    <col min="7682" max="7682" width="41.5703125" style="77" customWidth="1"/>
    <col min="7683" max="7683" width="32.7109375" style="77" customWidth="1"/>
    <col min="7684" max="7684" width="18.5703125" style="77" customWidth="1"/>
    <col min="7685" max="7685" width="6.5703125" style="77" customWidth="1"/>
    <col min="7686" max="7686" width="13" style="77" customWidth="1"/>
    <col min="7687" max="7687" width="2.42578125" style="77" customWidth="1"/>
    <col min="7688" max="7688" width="37.7109375" style="77" customWidth="1"/>
    <col min="7689" max="7689" width="41.5703125" style="77" customWidth="1"/>
    <col min="7690" max="7690" width="27.5703125" style="77" customWidth="1"/>
    <col min="7691" max="7691" width="18.7109375" style="77" customWidth="1"/>
    <col min="7692" max="7692" width="6.7109375" style="77" customWidth="1"/>
    <col min="7693" max="7693" width="12.85546875" style="77" customWidth="1"/>
    <col min="7694" max="7936" width="9.140625" style="77"/>
    <col min="7937" max="7937" width="36.5703125" style="77" customWidth="1"/>
    <col min="7938" max="7938" width="41.5703125" style="77" customWidth="1"/>
    <col min="7939" max="7939" width="32.7109375" style="77" customWidth="1"/>
    <col min="7940" max="7940" width="18.5703125" style="77" customWidth="1"/>
    <col min="7941" max="7941" width="6.5703125" style="77" customWidth="1"/>
    <col min="7942" max="7942" width="13" style="77" customWidth="1"/>
    <col min="7943" max="7943" width="2.42578125" style="77" customWidth="1"/>
    <col min="7944" max="7944" width="37.7109375" style="77" customWidth="1"/>
    <col min="7945" max="7945" width="41.5703125" style="77" customWidth="1"/>
    <col min="7946" max="7946" width="27.5703125" style="77" customWidth="1"/>
    <col min="7947" max="7947" width="18.7109375" style="77" customWidth="1"/>
    <col min="7948" max="7948" width="6.7109375" style="77" customWidth="1"/>
    <col min="7949" max="7949" width="12.85546875" style="77" customWidth="1"/>
    <col min="7950" max="8192" width="9.140625" style="77"/>
    <col min="8193" max="8193" width="36.5703125" style="77" customWidth="1"/>
    <col min="8194" max="8194" width="41.5703125" style="77" customWidth="1"/>
    <col min="8195" max="8195" width="32.7109375" style="77" customWidth="1"/>
    <col min="8196" max="8196" width="18.5703125" style="77" customWidth="1"/>
    <col min="8197" max="8197" width="6.5703125" style="77" customWidth="1"/>
    <col min="8198" max="8198" width="13" style="77" customWidth="1"/>
    <col min="8199" max="8199" width="2.42578125" style="77" customWidth="1"/>
    <col min="8200" max="8200" width="37.7109375" style="77" customWidth="1"/>
    <col min="8201" max="8201" width="41.5703125" style="77" customWidth="1"/>
    <col min="8202" max="8202" width="27.5703125" style="77" customWidth="1"/>
    <col min="8203" max="8203" width="18.7109375" style="77" customWidth="1"/>
    <col min="8204" max="8204" width="6.7109375" style="77" customWidth="1"/>
    <col min="8205" max="8205" width="12.85546875" style="77" customWidth="1"/>
    <col min="8206" max="8448" width="9.140625" style="77"/>
    <col min="8449" max="8449" width="36.5703125" style="77" customWidth="1"/>
    <col min="8450" max="8450" width="41.5703125" style="77" customWidth="1"/>
    <col min="8451" max="8451" width="32.7109375" style="77" customWidth="1"/>
    <col min="8452" max="8452" width="18.5703125" style="77" customWidth="1"/>
    <col min="8453" max="8453" width="6.5703125" style="77" customWidth="1"/>
    <col min="8454" max="8454" width="13" style="77" customWidth="1"/>
    <col min="8455" max="8455" width="2.42578125" style="77" customWidth="1"/>
    <col min="8456" max="8456" width="37.7109375" style="77" customWidth="1"/>
    <col min="8457" max="8457" width="41.5703125" style="77" customWidth="1"/>
    <col min="8458" max="8458" width="27.5703125" style="77" customWidth="1"/>
    <col min="8459" max="8459" width="18.7109375" style="77" customWidth="1"/>
    <col min="8460" max="8460" width="6.7109375" style="77" customWidth="1"/>
    <col min="8461" max="8461" width="12.85546875" style="77" customWidth="1"/>
    <col min="8462" max="8704" width="9.140625" style="77"/>
    <col min="8705" max="8705" width="36.5703125" style="77" customWidth="1"/>
    <col min="8706" max="8706" width="41.5703125" style="77" customWidth="1"/>
    <col min="8707" max="8707" width="32.7109375" style="77" customWidth="1"/>
    <col min="8708" max="8708" width="18.5703125" style="77" customWidth="1"/>
    <col min="8709" max="8709" width="6.5703125" style="77" customWidth="1"/>
    <col min="8710" max="8710" width="13" style="77" customWidth="1"/>
    <col min="8711" max="8711" width="2.42578125" style="77" customWidth="1"/>
    <col min="8712" max="8712" width="37.7109375" style="77" customWidth="1"/>
    <col min="8713" max="8713" width="41.5703125" style="77" customWidth="1"/>
    <col min="8714" max="8714" width="27.5703125" style="77" customWidth="1"/>
    <col min="8715" max="8715" width="18.7109375" style="77" customWidth="1"/>
    <col min="8716" max="8716" width="6.7109375" style="77" customWidth="1"/>
    <col min="8717" max="8717" width="12.85546875" style="77" customWidth="1"/>
    <col min="8718" max="8960" width="9.140625" style="77"/>
    <col min="8961" max="8961" width="36.5703125" style="77" customWidth="1"/>
    <col min="8962" max="8962" width="41.5703125" style="77" customWidth="1"/>
    <col min="8963" max="8963" width="32.7109375" style="77" customWidth="1"/>
    <col min="8964" max="8964" width="18.5703125" style="77" customWidth="1"/>
    <col min="8965" max="8965" width="6.5703125" style="77" customWidth="1"/>
    <col min="8966" max="8966" width="13" style="77" customWidth="1"/>
    <col min="8967" max="8967" width="2.42578125" style="77" customWidth="1"/>
    <col min="8968" max="8968" width="37.7109375" style="77" customWidth="1"/>
    <col min="8969" max="8969" width="41.5703125" style="77" customWidth="1"/>
    <col min="8970" max="8970" width="27.5703125" style="77" customWidth="1"/>
    <col min="8971" max="8971" width="18.7109375" style="77" customWidth="1"/>
    <col min="8972" max="8972" width="6.7109375" style="77" customWidth="1"/>
    <col min="8973" max="8973" width="12.85546875" style="77" customWidth="1"/>
    <col min="8974" max="9216" width="9.140625" style="77"/>
    <col min="9217" max="9217" width="36.5703125" style="77" customWidth="1"/>
    <col min="9218" max="9218" width="41.5703125" style="77" customWidth="1"/>
    <col min="9219" max="9219" width="32.7109375" style="77" customWidth="1"/>
    <col min="9220" max="9220" width="18.5703125" style="77" customWidth="1"/>
    <col min="9221" max="9221" width="6.5703125" style="77" customWidth="1"/>
    <col min="9222" max="9222" width="13" style="77" customWidth="1"/>
    <col min="9223" max="9223" width="2.42578125" style="77" customWidth="1"/>
    <col min="9224" max="9224" width="37.7109375" style="77" customWidth="1"/>
    <col min="9225" max="9225" width="41.5703125" style="77" customWidth="1"/>
    <col min="9226" max="9226" width="27.5703125" style="77" customWidth="1"/>
    <col min="9227" max="9227" width="18.7109375" style="77" customWidth="1"/>
    <col min="9228" max="9228" width="6.7109375" style="77" customWidth="1"/>
    <col min="9229" max="9229" width="12.85546875" style="77" customWidth="1"/>
    <col min="9230" max="9472" width="9.140625" style="77"/>
    <col min="9473" max="9473" width="36.5703125" style="77" customWidth="1"/>
    <col min="9474" max="9474" width="41.5703125" style="77" customWidth="1"/>
    <col min="9475" max="9475" width="32.7109375" style="77" customWidth="1"/>
    <col min="9476" max="9476" width="18.5703125" style="77" customWidth="1"/>
    <col min="9477" max="9477" width="6.5703125" style="77" customWidth="1"/>
    <col min="9478" max="9478" width="13" style="77" customWidth="1"/>
    <col min="9479" max="9479" width="2.42578125" style="77" customWidth="1"/>
    <col min="9480" max="9480" width="37.7109375" style="77" customWidth="1"/>
    <col min="9481" max="9481" width="41.5703125" style="77" customWidth="1"/>
    <col min="9482" max="9482" width="27.5703125" style="77" customWidth="1"/>
    <col min="9483" max="9483" width="18.7109375" style="77" customWidth="1"/>
    <col min="9484" max="9484" width="6.7109375" style="77" customWidth="1"/>
    <col min="9485" max="9485" width="12.85546875" style="77" customWidth="1"/>
    <col min="9486" max="9728" width="9.140625" style="77"/>
    <col min="9729" max="9729" width="36.5703125" style="77" customWidth="1"/>
    <col min="9730" max="9730" width="41.5703125" style="77" customWidth="1"/>
    <col min="9731" max="9731" width="32.7109375" style="77" customWidth="1"/>
    <col min="9732" max="9732" width="18.5703125" style="77" customWidth="1"/>
    <col min="9733" max="9733" width="6.5703125" style="77" customWidth="1"/>
    <col min="9734" max="9734" width="13" style="77" customWidth="1"/>
    <col min="9735" max="9735" width="2.42578125" style="77" customWidth="1"/>
    <col min="9736" max="9736" width="37.7109375" style="77" customWidth="1"/>
    <col min="9737" max="9737" width="41.5703125" style="77" customWidth="1"/>
    <col min="9738" max="9738" width="27.5703125" style="77" customWidth="1"/>
    <col min="9739" max="9739" width="18.7109375" style="77" customWidth="1"/>
    <col min="9740" max="9740" width="6.7109375" style="77" customWidth="1"/>
    <col min="9741" max="9741" width="12.85546875" style="77" customWidth="1"/>
    <col min="9742" max="9984" width="9.140625" style="77"/>
    <col min="9985" max="9985" width="36.5703125" style="77" customWidth="1"/>
    <col min="9986" max="9986" width="41.5703125" style="77" customWidth="1"/>
    <col min="9987" max="9987" width="32.7109375" style="77" customWidth="1"/>
    <col min="9988" max="9988" width="18.5703125" style="77" customWidth="1"/>
    <col min="9989" max="9989" width="6.5703125" style="77" customWidth="1"/>
    <col min="9990" max="9990" width="13" style="77" customWidth="1"/>
    <col min="9991" max="9991" width="2.42578125" style="77" customWidth="1"/>
    <col min="9992" max="9992" width="37.7109375" style="77" customWidth="1"/>
    <col min="9993" max="9993" width="41.5703125" style="77" customWidth="1"/>
    <col min="9994" max="9994" width="27.5703125" style="77" customWidth="1"/>
    <col min="9995" max="9995" width="18.7109375" style="77" customWidth="1"/>
    <col min="9996" max="9996" width="6.7109375" style="77" customWidth="1"/>
    <col min="9997" max="9997" width="12.85546875" style="77" customWidth="1"/>
    <col min="9998" max="10240" width="9.140625" style="77"/>
    <col min="10241" max="10241" width="36.5703125" style="77" customWidth="1"/>
    <col min="10242" max="10242" width="41.5703125" style="77" customWidth="1"/>
    <col min="10243" max="10243" width="32.7109375" style="77" customWidth="1"/>
    <col min="10244" max="10244" width="18.5703125" style="77" customWidth="1"/>
    <col min="10245" max="10245" width="6.5703125" style="77" customWidth="1"/>
    <col min="10246" max="10246" width="13" style="77" customWidth="1"/>
    <col min="10247" max="10247" width="2.42578125" style="77" customWidth="1"/>
    <col min="10248" max="10248" width="37.7109375" style="77" customWidth="1"/>
    <col min="10249" max="10249" width="41.5703125" style="77" customWidth="1"/>
    <col min="10250" max="10250" width="27.5703125" style="77" customWidth="1"/>
    <col min="10251" max="10251" width="18.7109375" style="77" customWidth="1"/>
    <col min="10252" max="10252" width="6.7109375" style="77" customWidth="1"/>
    <col min="10253" max="10253" width="12.85546875" style="77" customWidth="1"/>
    <col min="10254" max="10496" width="9.140625" style="77"/>
    <col min="10497" max="10497" width="36.5703125" style="77" customWidth="1"/>
    <col min="10498" max="10498" width="41.5703125" style="77" customWidth="1"/>
    <col min="10499" max="10499" width="32.7109375" style="77" customWidth="1"/>
    <col min="10500" max="10500" width="18.5703125" style="77" customWidth="1"/>
    <col min="10501" max="10501" width="6.5703125" style="77" customWidth="1"/>
    <col min="10502" max="10502" width="13" style="77" customWidth="1"/>
    <col min="10503" max="10503" width="2.42578125" style="77" customWidth="1"/>
    <col min="10504" max="10504" width="37.7109375" style="77" customWidth="1"/>
    <col min="10505" max="10505" width="41.5703125" style="77" customWidth="1"/>
    <col min="10506" max="10506" width="27.5703125" style="77" customWidth="1"/>
    <col min="10507" max="10507" width="18.7109375" style="77" customWidth="1"/>
    <col min="10508" max="10508" width="6.7109375" style="77" customWidth="1"/>
    <col min="10509" max="10509" width="12.85546875" style="77" customWidth="1"/>
    <col min="10510" max="10752" width="9.140625" style="77"/>
    <col min="10753" max="10753" width="36.5703125" style="77" customWidth="1"/>
    <col min="10754" max="10754" width="41.5703125" style="77" customWidth="1"/>
    <col min="10755" max="10755" width="32.7109375" style="77" customWidth="1"/>
    <col min="10756" max="10756" width="18.5703125" style="77" customWidth="1"/>
    <col min="10757" max="10757" width="6.5703125" style="77" customWidth="1"/>
    <col min="10758" max="10758" width="13" style="77" customWidth="1"/>
    <col min="10759" max="10759" width="2.42578125" style="77" customWidth="1"/>
    <col min="10760" max="10760" width="37.7109375" style="77" customWidth="1"/>
    <col min="10761" max="10761" width="41.5703125" style="77" customWidth="1"/>
    <col min="10762" max="10762" width="27.5703125" style="77" customWidth="1"/>
    <col min="10763" max="10763" width="18.7109375" style="77" customWidth="1"/>
    <col min="10764" max="10764" width="6.7109375" style="77" customWidth="1"/>
    <col min="10765" max="10765" width="12.85546875" style="77" customWidth="1"/>
    <col min="10766" max="11008" width="9.140625" style="77"/>
    <col min="11009" max="11009" width="36.5703125" style="77" customWidth="1"/>
    <col min="11010" max="11010" width="41.5703125" style="77" customWidth="1"/>
    <col min="11011" max="11011" width="32.7109375" style="77" customWidth="1"/>
    <col min="11012" max="11012" width="18.5703125" style="77" customWidth="1"/>
    <col min="11013" max="11013" width="6.5703125" style="77" customWidth="1"/>
    <col min="11014" max="11014" width="13" style="77" customWidth="1"/>
    <col min="11015" max="11015" width="2.42578125" style="77" customWidth="1"/>
    <col min="11016" max="11016" width="37.7109375" style="77" customWidth="1"/>
    <col min="11017" max="11017" width="41.5703125" style="77" customWidth="1"/>
    <col min="11018" max="11018" width="27.5703125" style="77" customWidth="1"/>
    <col min="11019" max="11019" width="18.7109375" style="77" customWidth="1"/>
    <col min="11020" max="11020" width="6.7109375" style="77" customWidth="1"/>
    <col min="11021" max="11021" width="12.85546875" style="77" customWidth="1"/>
    <col min="11022" max="11264" width="9.140625" style="77"/>
    <col min="11265" max="11265" width="36.5703125" style="77" customWidth="1"/>
    <col min="11266" max="11266" width="41.5703125" style="77" customWidth="1"/>
    <col min="11267" max="11267" width="32.7109375" style="77" customWidth="1"/>
    <col min="11268" max="11268" width="18.5703125" style="77" customWidth="1"/>
    <col min="11269" max="11269" width="6.5703125" style="77" customWidth="1"/>
    <col min="11270" max="11270" width="13" style="77" customWidth="1"/>
    <col min="11271" max="11271" width="2.42578125" style="77" customWidth="1"/>
    <col min="11272" max="11272" width="37.7109375" style="77" customWidth="1"/>
    <col min="11273" max="11273" width="41.5703125" style="77" customWidth="1"/>
    <col min="11274" max="11274" width="27.5703125" style="77" customWidth="1"/>
    <col min="11275" max="11275" width="18.7109375" style="77" customWidth="1"/>
    <col min="11276" max="11276" width="6.7109375" style="77" customWidth="1"/>
    <col min="11277" max="11277" width="12.85546875" style="77" customWidth="1"/>
    <col min="11278" max="11520" width="9.140625" style="77"/>
    <col min="11521" max="11521" width="36.5703125" style="77" customWidth="1"/>
    <col min="11522" max="11522" width="41.5703125" style="77" customWidth="1"/>
    <col min="11523" max="11523" width="32.7109375" style="77" customWidth="1"/>
    <col min="11524" max="11524" width="18.5703125" style="77" customWidth="1"/>
    <col min="11525" max="11525" width="6.5703125" style="77" customWidth="1"/>
    <col min="11526" max="11526" width="13" style="77" customWidth="1"/>
    <col min="11527" max="11527" width="2.42578125" style="77" customWidth="1"/>
    <col min="11528" max="11528" width="37.7109375" style="77" customWidth="1"/>
    <col min="11529" max="11529" width="41.5703125" style="77" customWidth="1"/>
    <col min="11530" max="11530" width="27.5703125" style="77" customWidth="1"/>
    <col min="11531" max="11531" width="18.7109375" style="77" customWidth="1"/>
    <col min="11532" max="11532" width="6.7109375" style="77" customWidth="1"/>
    <col min="11533" max="11533" width="12.85546875" style="77" customWidth="1"/>
    <col min="11534" max="11776" width="9.140625" style="77"/>
    <col min="11777" max="11777" width="36.5703125" style="77" customWidth="1"/>
    <col min="11778" max="11778" width="41.5703125" style="77" customWidth="1"/>
    <col min="11779" max="11779" width="32.7109375" style="77" customWidth="1"/>
    <col min="11780" max="11780" width="18.5703125" style="77" customWidth="1"/>
    <col min="11781" max="11781" width="6.5703125" style="77" customWidth="1"/>
    <col min="11782" max="11782" width="13" style="77" customWidth="1"/>
    <col min="11783" max="11783" width="2.42578125" style="77" customWidth="1"/>
    <col min="11784" max="11784" width="37.7109375" style="77" customWidth="1"/>
    <col min="11785" max="11785" width="41.5703125" style="77" customWidth="1"/>
    <col min="11786" max="11786" width="27.5703125" style="77" customWidth="1"/>
    <col min="11787" max="11787" width="18.7109375" style="77" customWidth="1"/>
    <col min="11788" max="11788" width="6.7109375" style="77" customWidth="1"/>
    <col min="11789" max="11789" width="12.85546875" style="77" customWidth="1"/>
    <col min="11790" max="12032" width="9.140625" style="77"/>
    <col min="12033" max="12033" width="36.5703125" style="77" customWidth="1"/>
    <col min="12034" max="12034" width="41.5703125" style="77" customWidth="1"/>
    <col min="12035" max="12035" width="32.7109375" style="77" customWidth="1"/>
    <col min="12036" max="12036" width="18.5703125" style="77" customWidth="1"/>
    <col min="12037" max="12037" width="6.5703125" style="77" customWidth="1"/>
    <col min="12038" max="12038" width="13" style="77" customWidth="1"/>
    <col min="12039" max="12039" width="2.42578125" style="77" customWidth="1"/>
    <col min="12040" max="12040" width="37.7109375" style="77" customWidth="1"/>
    <col min="12041" max="12041" width="41.5703125" style="77" customWidth="1"/>
    <col min="12042" max="12042" width="27.5703125" style="77" customWidth="1"/>
    <col min="12043" max="12043" width="18.7109375" style="77" customWidth="1"/>
    <col min="12044" max="12044" width="6.7109375" style="77" customWidth="1"/>
    <col min="12045" max="12045" width="12.85546875" style="77" customWidth="1"/>
    <col min="12046" max="12288" width="9.140625" style="77"/>
    <col min="12289" max="12289" width="36.5703125" style="77" customWidth="1"/>
    <col min="12290" max="12290" width="41.5703125" style="77" customWidth="1"/>
    <col min="12291" max="12291" width="32.7109375" style="77" customWidth="1"/>
    <col min="12292" max="12292" width="18.5703125" style="77" customWidth="1"/>
    <col min="12293" max="12293" width="6.5703125" style="77" customWidth="1"/>
    <col min="12294" max="12294" width="13" style="77" customWidth="1"/>
    <col min="12295" max="12295" width="2.42578125" style="77" customWidth="1"/>
    <col min="12296" max="12296" width="37.7109375" style="77" customWidth="1"/>
    <col min="12297" max="12297" width="41.5703125" style="77" customWidth="1"/>
    <col min="12298" max="12298" width="27.5703125" style="77" customWidth="1"/>
    <col min="12299" max="12299" width="18.7109375" style="77" customWidth="1"/>
    <col min="12300" max="12300" width="6.7109375" style="77" customWidth="1"/>
    <col min="12301" max="12301" width="12.85546875" style="77" customWidth="1"/>
    <col min="12302" max="12544" width="9.140625" style="77"/>
    <col min="12545" max="12545" width="36.5703125" style="77" customWidth="1"/>
    <col min="12546" max="12546" width="41.5703125" style="77" customWidth="1"/>
    <col min="12547" max="12547" width="32.7109375" style="77" customWidth="1"/>
    <col min="12548" max="12548" width="18.5703125" style="77" customWidth="1"/>
    <col min="12549" max="12549" width="6.5703125" style="77" customWidth="1"/>
    <col min="12550" max="12550" width="13" style="77" customWidth="1"/>
    <col min="12551" max="12551" width="2.42578125" style="77" customWidth="1"/>
    <col min="12552" max="12552" width="37.7109375" style="77" customWidth="1"/>
    <col min="12553" max="12553" width="41.5703125" style="77" customWidth="1"/>
    <col min="12554" max="12554" width="27.5703125" style="77" customWidth="1"/>
    <col min="12555" max="12555" width="18.7109375" style="77" customWidth="1"/>
    <col min="12556" max="12556" width="6.7109375" style="77" customWidth="1"/>
    <col min="12557" max="12557" width="12.85546875" style="77" customWidth="1"/>
    <col min="12558" max="12800" width="9.140625" style="77"/>
    <col min="12801" max="12801" width="36.5703125" style="77" customWidth="1"/>
    <col min="12802" max="12802" width="41.5703125" style="77" customWidth="1"/>
    <col min="12803" max="12803" width="32.7109375" style="77" customWidth="1"/>
    <col min="12804" max="12804" width="18.5703125" style="77" customWidth="1"/>
    <col min="12805" max="12805" width="6.5703125" style="77" customWidth="1"/>
    <col min="12806" max="12806" width="13" style="77" customWidth="1"/>
    <col min="12807" max="12807" width="2.42578125" style="77" customWidth="1"/>
    <col min="12808" max="12808" width="37.7109375" style="77" customWidth="1"/>
    <col min="12809" max="12809" width="41.5703125" style="77" customWidth="1"/>
    <col min="12810" max="12810" width="27.5703125" style="77" customWidth="1"/>
    <col min="12811" max="12811" width="18.7109375" style="77" customWidth="1"/>
    <col min="12812" max="12812" width="6.7109375" style="77" customWidth="1"/>
    <col min="12813" max="12813" width="12.85546875" style="77" customWidth="1"/>
    <col min="12814" max="13056" width="9.140625" style="77"/>
    <col min="13057" max="13057" width="36.5703125" style="77" customWidth="1"/>
    <col min="13058" max="13058" width="41.5703125" style="77" customWidth="1"/>
    <col min="13059" max="13059" width="32.7109375" style="77" customWidth="1"/>
    <col min="13060" max="13060" width="18.5703125" style="77" customWidth="1"/>
    <col min="13061" max="13061" width="6.5703125" style="77" customWidth="1"/>
    <col min="13062" max="13062" width="13" style="77" customWidth="1"/>
    <col min="13063" max="13063" width="2.42578125" style="77" customWidth="1"/>
    <col min="13064" max="13064" width="37.7109375" style="77" customWidth="1"/>
    <col min="13065" max="13065" width="41.5703125" style="77" customWidth="1"/>
    <col min="13066" max="13066" width="27.5703125" style="77" customWidth="1"/>
    <col min="13067" max="13067" width="18.7109375" style="77" customWidth="1"/>
    <col min="13068" max="13068" width="6.7109375" style="77" customWidth="1"/>
    <col min="13069" max="13069" width="12.85546875" style="77" customWidth="1"/>
    <col min="13070" max="13312" width="9.140625" style="77"/>
    <col min="13313" max="13313" width="36.5703125" style="77" customWidth="1"/>
    <col min="13314" max="13314" width="41.5703125" style="77" customWidth="1"/>
    <col min="13315" max="13315" width="32.7109375" style="77" customWidth="1"/>
    <col min="13316" max="13316" width="18.5703125" style="77" customWidth="1"/>
    <col min="13317" max="13317" width="6.5703125" style="77" customWidth="1"/>
    <col min="13318" max="13318" width="13" style="77" customWidth="1"/>
    <col min="13319" max="13319" width="2.42578125" style="77" customWidth="1"/>
    <col min="13320" max="13320" width="37.7109375" style="77" customWidth="1"/>
    <col min="13321" max="13321" width="41.5703125" style="77" customWidth="1"/>
    <col min="13322" max="13322" width="27.5703125" style="77" customWidth="1"/>
    <col min="13323" max="13323" width="18.7109375" style="77" customWidth="1"/>
    <col min="13324" max="13324" width="6.7109375" style="77" customWidth="1"/>
    <col min="13325" max="13325" width="12.85546875" style="77" customWidth="1"/>
    <col min="13326" max="13568" width="9.140625" style="77"/>
    <col min="13569" max="13569" width="36.5703125" style="77" customWidth="1"/>
    <col min="13570" max="13570" width="41.5703125" style="77" customWidth="1"/>
    <col min="13571" max="13571" width="32.7109375" style="77" customWidth="1"/>
    <col min="13572" max="13572" width="18.5703125" style="77" customWidth="1"/>
    <col min="13573" max="13573" width="6.5703125" style="77" customWidth="1"/>
    <col min="13574" max="13574" width="13" style="77" customWidth="1"/>
    <col min="13575" max="13575" width="2.42578125" style="77" customWidth="1"/>
    <col min="13576" max="13576" width="37.7109375" style="77" customWidth="1"/>
    <col min="13577" max="13577" width="41.5703125" style="77" customWidth="1"/>
    <col min="13578" max="13578" width="27.5703125" style="77" customWidth="1"/>
    <col min="13579" max="13579" width="18.7109375" style="77" customWidth="1"/>
    <col min="13580" max="13580" width="6.7109375" style="77" customWidth="1"/>
    <col min="13581" max="13581" width="12.85546875" style="77" customWidth="1"/>
    <col min="13582" max="13824" width="9.140625" style="77"/>
    <col min="13825" max="13825" width="36.5703125" style="77" customWidth="1"/>
    <col min="13826" max="13826" width="41.5703125" style="77" customWidth="1"/>
    <col min="13827" max="13827" width="32.7109375" style="77" customWidth="1"/>
    <col min="13828" max="13828" width="18.5703125" style="77" customWidth="1"/>
    <col min="13829" max="13829" width="6.5703125" style="77" customWidth="1"/>
    <col min="13830" max="13830" width="13" style="77" customWidth="1"/>
    <col min="13831" max="13831" width="2.42578125" style="77" customWidth="1"/>
    <col min="13832" max="13832" width="37.7109375" style="77" customWidth="1"/>
    <col min="13833" max="13833" width="41.5703125" style="77" customWidth="1"/>
    <col min="13834" max="13834" width="27.5703125" style="77" customWidth="1"/>
    <col min="13835" max="13835" width="18.7109375" style="77" customWidth="1"/>
    <col min="13836" max="13836" width="6.7109375" style="77" customWidth="1"/>
    <col min="13837" max="13837" width="12.85546875" style="77" customWidth="1"/>
    <col min="13838" max="14080" width="9.140625" style="77"/>
    <col min="14081" max="14081" width="36.5703125" style="77" customWidth="1"/>
    <col min="14082" max="14082" width="41.5703125" style="77" customWidth="1"/>
    <col min="14083" max="14083" width="32.7109375" style="77" customWidth="1"/>
    <col min="14084" max="14084" width="18.5703125" style="77" customWidth="1"/>
    <col min="14085" max="14085" width="6.5703125" style="77" customWidth="1"/>
    <col min="14086" max="14086" width="13" style="77" customWidth="1"/>
    <col min="14087" max="14087" width="2.42578125" style="77" customWidth="1"/>
    <col min="14088" max="14088" width="37.7109375" style="77" customWidth="1"/>
    <col min="14089" max="14089" width="41.5703125" style="77" customWidth="1"/>
    <col min="14090" max="14090" width="27.5703125" style="77" customWidth="1"/>
    <col min="14091" max="14091" width="18.7109375" style="77" customWidth="1"/>
    <col min="14092" max="14092" width="6.7109375" style="77" customWidth="1"/>
    <col min="14093" max="14093" width="12.85546875" style="77" customWidth="1"/>
    <col min="14094" max="14336" width="9.140625" style="77"/>
    <col min="14337" max="14337" width="36.5703125" style="77" customWidth="1"/>
    <col min="14338" max="14338" width="41.5703125" style="77" customWidth="1"/>
    <col min="14339" max="14339" width="32.7109375" style="77" customWidth="1"/>
    <col min="14340" max="14340" width="18.5703125" style="77" customWidth="1"/>
    <col min="14341" max="14341" width="6.5703125" style="77" customWidth="1"/>
    <col min="14342" max="14342" width="13" style="77" customWidth="1"/>
    <col min="14343" max="14343" width="2.42578125" style="77" customWidth="1"/>
    <col min="14344" max="14344" width="37.7109375" style="77" customWidth="1"/>
    <col min="14345" max="14345" width="41.5703125" style="77" customWidth="1"/>
    <col min="14346" max="14346" width="27.5703125" style="77" customWidth="1"/>
    <col min="14347" max="14347" width="18.7109375" style="77" customWidth="1"/>
    <col min="14348" max="14348" width="6.7109375" style="77" customWidth="1"/>
    <col min="14349" max="14349" width="12.85546875" style="77" customWidth="1"/>
    <col min="14350" max="14592" width="9.140625" style="77"/>
    <col min="14593" max="14593" width="36.5703125" style="77" customWidth="1"/>
    <col min="14594" max="14594" width="41.5703125" style="77" customWidth="1"/>
    <col min="14595" max="14595" width="32.7109375" style="77" customWidth="1"/>
    <col min="14596" max="14596" width="18.5703125" style="77" customWidth="1"/>
    <col min="14597" max="14597" width="6.5703125" style="77" customWidth="1"/>
    <col min="14598" max="14598" width="13" style="77" customWidth="1"/>
    <col min="14599" max="14599" width="2.42578125" style="77" customWidth="1"/>
    <col min="14600" max="14600" width="37.7109375" style="77" customWidth="1"/>
    <col min="14601" max="14601" width="41.5703125" style="77" customWidth="1"/>
    <col min="14602" max="14602" width="27.5703125" style="77" customWidth="1"/>
    <col min="14603" max="14603" width="18.7109375" style="77" customWidth="1"/>
    <col min="14604" max="14604" width="6.7109375" style="77" customWidth="1"/>
    <col min="14605" max="14605" width="12.85546875" style="77" customWidth="1"/>
    <col min="14606" max="14848" width="9.140625" style="77"/>
    <col min="14849" max="14849" width="36.5703125" style="77" customWidth="1"/>
    <col min="14850" max="14850" width="41.5703125" style="77" customWidth="1"/>
    <col min="14851" max="14851" width="32.7109375" style="77" customWidth="1"/>
    <col min="14852" max="14852" width="18.5703125" style="77" customWidth="1"/>
    <col min="14853" max="14853" width="6.5703125" style="77" customWidth="1"/>
    <col min="14854" max="14854" width="13" style="77" customWidth="1"/>
    <col min="14855" max="14855" width="2.42578125" style="77" customWidth="1"/>
    <col min="14856" max="14856" width="37.7109375" style="77" customWidth="1"/>
    <col min="14857" max="14857" width="41.5703125" style="77" customWidth="1"/>
    <col min="14858" max="14858" width="27.5703125" style="77" customWidth="1"/>
    <col min="14859" max="14859" width="18.7109375" style="77" customWidth="1"/>
    <col min="14860" max="14860" width="6.7109375" style="77" customWidth="1"/>
    <col min="14861" max="14861" width="12.85546875" style="77" customWidth="1"/>
    <col min="14862" max="15104" width="9.140625" style="77"/>
    <col min="15105" max="15105" width="36.5703125" style="77" customWidth="1"/>
    <col min="15106" max="15106" width="41.5703125" style="77" customWidth="1"/>
    <col min="15107" max="15107" width="32.7109375" style="77" customWidth="1"/>
    <col min="15108" max="15108" width="18.5703125" style="77" customWidth="1"/>
    <col min="15109" max="15109" width="6.5703125" style="77" customWidth="1"/>
    <col min="15110" max="15110" width="13" style="77" customWidth="1"/>
    <col min="15111" max="15111" width="2.42578125" style="77" customWidth="1"/>
    <col min="15112" max="15112" width="37.7109375" style="77" customWidth="1"/>
    <col min="15113" max="15113" width="41.5703125" style="77" customWidth="1"/>
    <col min="15114" max="15114" width="27.5703125" style="77" customWidth="1"/>
    <col min="15115" max="15115" width="18.7109375" style="77" customWidth="1"/>
    <col min="15116" max="15116" width="6.7109375" style="77" customWidth="1"/>
    <col min="15117" max="15117" width="12.85546875" style="77" customWidth="1"/>
    <col min="15118" max="15360" width="9.140625" style="77"/>
    <col min="15361" max="15361" width="36.5703125" style="77" customWidth="1"/>
    <col min="15362" max="15362" width="41.5703125" style="77" customWidth="1"/>
    <col min="15363" max="15363" width="32.7109375" style="77" customWidth="1"/>
    <col min="15364" max="15364" width="18.5703125" style="77" customWidth="1"/>
    <col min="15365" max="15365" width="6.5703125" style="77" customWidth="1"/>
    <col min="15366" max="15366" width="13" style="77" customWidth="1"/>
    <col min="15367" max="15367" width="2.42578125" style="77" customWidth="1"/>
    <col min="15368" max="15368" width="37.7109375" style="77" customWidth="1"/>
    <col min="15369" max="15369" width="41.5703125" style="77" customWidth="1"/>
    <col min="15370" max="15370" width="27.5703125" style="77" customWidth="1"/>
    <col min="15371" max="15371" width="18.7109375" style="77" customWidth="1"/>
    <col min="15372" max="15372" width="6.7109375" style="77" customWidth="1"/>
    <col min="15373" max="15373" width="12.85546875" style="77" customWidth="1"/>
    <col min="15374" max="15616" width="9.140625" style="77"/>
    <col min="15617" max="15617" width="36.5703125" style="77" customWidth="1"/>
    <col min="15618" max="15618" width="41.5703125" style="77" customWidth="1"/>
    <col min="15619" max="15619" width="32.7109375" style="77" customWidth="1"/>
    <col min="15620" max="15620" width="18.5703125" style="77" customWidth="1"/>
    <col min="15621" max="15621" width="6.5703125" style="77" customWidth="1"/>
    <col min="15622" max="15622" width="13" style="77" customWidth="1"/>
    <col min="15623" max="15623" width="2.42578125" style="77" customWidth="1"/>
    <col min="15624" max="15624" width="37.7109375" style="77" customWidth="1"/>
    <col min="15625" max="15625" width="41.5703125" style="77" customWidth="1"/>
    <col min="15626" max="15626" width="27.5703125" style="77" customWidth="1"/>
    <col min="15627" max="15627" width="18.7109375" style="77" customWidth="1"/>
    <col min="15628" max="15628" width="6.7109375" style="77" customWidth="1"/>
    <col min="15629" max="15629" width="12.85546875" style="77" customWidth="1"/>
    <col min="15630" max="15872" width="9.140625" style="77"/>
    <col min="15873" max="15873" width="36.5703125" style="77" customWidth="1"/>
    <col min="15874" max="15874" width="41.5703125" style="77" customWidth="1"/>
    <col min="15875" max="15875" width="32.7109375" style="77" customWidth="1"/>
    <col min="15876" max="15876" width="18.5703125" style="77" customWidth="1"/>
    <col min="15877" max="15877" width="6.5703125" style="77" customWidth="1"/>
    <col min="15878" max="15878" width="13" style="77" customWidth="1"/>
    <col min="15879" max="15879" width="2.42578125" style="77" customWidth="1"/>
    <col min="15880" max="15880" width="37.7109375" style="77" customWidth="1"/>
    <col min="15881" max="15881" width="41.5703125" style="77" customWidth="1"/>
    <col min="15882" max="15882" width="27.5703125" style="77" customWidth="1"/>
    <col min="15883" max="15883" width="18.7109375" style="77" customWidth="1"/>
    <col min="15884" max="15884" width="6.7109375" style="77" customWidth="1"/>
    <col min="15885" max="15885" width="12.85546875" style="77" customWidth="1"/>
    <col min="15886" max="16128" width="9.140625" style="77"/>
    <col min="16129" max="16129" width="36.5703125" style="77" customWidth="1"/>
    <col min="16130" max="16130" width="41.5703125" style="77" customWidth="1"/>
    <col min="16131" max="16131" width="32.7109375" style="77" customWidth="1"/>
    <col min="16132" max="16132" width="18.5703125" style="77" customWidth="1"/>
    <col min="16133" max="16133" width="6.5703125" style="77" customWidth="1"/>
    <col min="16134" max="16134" width="13" style="77" customWidth="1"/>
    <col min="16135" max="16135" width="2.42578125" style="77" customWidth="1"/>
    <col min="16136" max="16136" width="37.7109375" style="77" customWidth="1"/>
    <col min="16137" max="16137" width="41.5703125" style="77" customWidth="1"/>
    <col min="16138" max="16138" width="27.5703125" style="77" customWidth="1"/>
    <col min="16139" max="16139" width="18.7109375" style="77" customWidth="1"/>
    <col min="16140" max="16140" width="6.7109375" style="77" customWidth="1"/>
    <col min="16141" max="16141" width="12.85546875" style="77" customWidth="1"/>
    <col min="16142" max="16384" width="9.140625" style="77"/>
  </cols>
  <sheetData>
    <row r="1" spans="1:13" ht="15" customHeight="1" x14ac:dyDescent="0.2">
      <c r="A1" s="2609"/>
      <c r="B1" s="2609"/>
      <c r="C1" s="2609"/>
      <c r="D1" s="2609"/>
      <c r="E1" s="2609"/>
      <c r="F1" s="2609"/>
      <c r="G1" s="2609"/>
      <c r="H1" s="2609"/>
      <c r="I1" s="2609"/>
      <c r="J1" s="2609"/>
      <c r="K1" s="2609"/>
      <c r="L1" s="2609"/>
      <c r="M1" s="2609"/>
    </row>
    <row r="2" spans="1:13" ht="15" customHeight="1" x14ac:dyDescent="0.2">
      <c r="A2" s="2609"/>
      <c r="B2" s="2609"/>
      <c r="C2" s="2609"/>
      <c r="D2" s="2609"/>
      <c r="E2" s="2609"/>
      <c r="F2" s="2609"/>
      <c r="G2" s="2609"/>
      <c r="H2" s="2609"/>
      <c r="I2" s="2609"/>
      <c r="J2" s="2609"/>
      <c r="K2" s="2609"/>
      <c r="L2" s="2609"/>
      <c r="M2" s="2609"/>
    </row>
    <row r="3" spans="1:13" ht="15" customHeight="1" x14ac:dyDescent="0.2">
      <c r="A3" s="2609"/>
      <c r="B3" s="2609"/>
      <c r="C3" s="2609"/>
      <c r="D3" s="2609"/>
      <c r="E3" s="2609"/>
      <c r="F3" s="2609"/>
      <c r="G3" s="2609"/>
      <c r="H3" s="2609"/>
      <c r="I3" s="2609"/>
      <c r="J3" s="2609"/>
      <c r="K3" s="2609"/>
      <c r="L3" s="2609"/>
      <c r="M3" s="2609"/>
    </row>
    <row r="4" spans="1:13" ht="90.75" customHeight="1" thickBot="1" x14ac:dyDescent="0.25">
      <c r="A4" s="2610"/>
      <c r="B4" s="2610"/>
      <c r="C4" s="2610"/>
      <c r="D4" s="2610"/>
      <c r="E4" s="2610"/>
      <c r="F4" s="2610"/>
      <c r="G4" s="2610"/>
      <c r="H4" s="2610"/>
      <c r="I4" s="2610"/>
      <c r="J4" s="2610"/>
      <c r="K4" s="2610"/>
      <c r="L4" s="2610"/>
      <c r="M4" s="2610"/>
    </row>
    <row r="5" spans="1:13" ht="27" thickTop="1" x14ac:dyDescent="0.2">
      <c r="A5" s="2611" t="s">
        <v>2568</v>
      </c>
      <c r="B5" s="2611"/>
      <c r="C5" s="2611"/>
      <c r="D5" s="2611"/>
      <c r="E5" s="2611"/>
      <c r="F5" s="2611"/>
      <c r="G5" s="2611"/>
      <c r="H5" s="2611"/>
      <c r="I5" s="2611"/>
      <c r="J5" s="2611"/>
      <c r="K5" s="2611"/>
      <c r="L5" s="2611"/>
      <c r="M5" s="2611"/>
    </row>
    <row r="6" spans="1:13" ht="14.25" x14ac:dyDescent="0.2">
      <c r="A6" s="78"/>
      <c r="B6" s="79"/>
      <c r="C6" s="79"/>
      <c r="D6" s="79"/>
      <c r="E6" s="79"/>
      <c r="F6" s="79"/>
      <c r="H6" s="78"/>
      <c r="I6" s="79"/>
      <c r="J6" s="79"/>
      <c r="K6" s="79"/>
      <c r="L6" s="79"/>
      <c r="M6" s="955" t="s">
        <v>3202</v>
      </c>
    </row>
    <row r="7" spans="1:13" ht="20.25" customHeight="1" x14ac:dyDescent="0.2">
      <c r="A7" s="2612" t="s">
        <v>285</v>
      </c>
      <c r="B7" s="2614" t="s">
        <v>101</v>
      </c>
      <c r="C7" s="2614"/>
      <c r="D7" s="2615" t="s">
        <v>103</v>
      </c>
      <c r="E7" s="2615" t="s">
        <v>104</v>
      </c>
      <c r="F7" s="2617" t="s">
        <v>105</v>
      </c>
      <c r="H7" s="2614" t="s">
        <v>285</v>
      </c>
      <c r="I7" s="2614" t="s">
        <v>101</v>
      </c>
      <c r="J7" s="2614"/>
      <c r="K7" s="2617" t="s">
        <v>103</v>
      </c>
      <c r="L7" s="2615" t="s">
        <v>104</v>
      </c>
      <c r="M7" s="2617" t="s">
        <v>105</v>
      </c>
    </row>
    <row r="8" spans="1:13" ht="23.25" customHeight="1" x14ac:dyDescent="0.2">
      <c r="A8" s="2613"/>
      <c r="B8" s="2614"/>
      <c r="C8" s="2614"/>
      <c r="D8" s="2616"/>
      <c r="E8" s="2616"/>
      <c r="F8" s="2617"/>
      <c r="H8" s="2614"/>
      <c r="I8" s="2614"/>
      <c r="J8" s="2614"/>
      <c r="K8" s="2617"/>
      <c r="L8" s="2616"/>
      <c r="M8" s="2617"/>
    </row>
    <row r="9" spans="1:13" ht="36.75" customHeight="1" x14ac:dyDescent="0.2">
      <c r="A9" s="2618"/>
      <c r="B9" s="2621" t="s">
        <v>2569</v>
      </c>
      <c r="C9" s="1742" t="s">
        <v>2587</v>
      </c>
      <c r="D9" s="2624" t="s">
        <v>2588</v>
      </c>
      <c r="E9" s="2627" t="s">
        <v>107</v>
      </c>
      <c r="F9" s="2188">
        <v>450</v>
      </c>
      <c r="H9" s="2630"/>
      <c r="I9" s="2631" t="s">
        <v>1727</v>
      </c>
      <c r="J9" s="2632" t="s">
        <v>2570</v>
      </c>
      <c r="K9" s="2632" t="s">
        <v>145</v>
      </c>
      <c r="L9" s="2633" t="s">
        <v>107</v>
      </c>
      <c r="M9" s="2634">
        <v>2070</v>
      </c>
    </row>
    <row r="10" spans="1:13" ht="24.75" customHeight="1" x14ac:dyDescent="0.2">
      <c r="A10" s="2619"/>
      <c r="B10" s="2622"/>
      <c r="C10" s="1742" t="s">
        <v>3203</v>
      </c>
      <c r="D10" s="2625"/>
      <c r="E10" s="2628"/>
      <c r="F10" s="2188">
        <v>558</v>
      </c>
      <c r="H10" s="2630"/>
      <c r="I10" s="2631"/>
      <c r="J10" s="2632"/>
      <c r="K10" s="2632"/>
      <c r="L10" s="2633"/>
      <c r="M10" s="2634"/>
    </row>
    <row r="11" spans="1:13" ht="21" customHeight="1" x14ac:dyDescent="0.2">
      <c r="A11" s="2620"/>
      <c r="B11" s="2623"/>
      <c r="C11" s="1742" t="s">
        <v>3204</v>
      </c>
      <c r="D11" s="2626"/>
      <c r="E11" s="2629"/>
      <c r="F11" s="2189">
        <v>621</v>
      </c>
      <c r="H11" s="2630"/>
      <c r="I11" s="2631"/>
      <c r="J11" s="2632"/>
      <c r="K11" s="2632"/>
      <c r="L11" s="2633"/>
      <c r="M11" s="2634"/>
    </row>
    <row r="12" spans="1:13" ht="30.75" customHeight="1" x14ac:dyDescent="0.2">
      <c r="A12" s="2618"/>
      <c r="B12" s="2621" t="s">
        <v>2571</v>
      </c>
      <c r="C12" s="1742" t="s">
        <v>2587</v>
      </c>
      <c r="D12" s="2624" t="s">
        <v>2589</v>
      </c>
      <c r="E12" s="2627" t="s">
        <v>107</v>
      </c>
      <c r="F12" s="2188">
        <v>1237</v>
      </c>
      <c r="H12" s="2630"/>
      <c r="I12" s="2631" t="s">
        <v>1728</v>
      </c>
      <c r="J12" s="2632" t="s">
        <v>2572</v>
      </c>
      <c r="K12" s="2632" t="s">
        <v>145</v>
      </c>
      <c r="L12" s="2633" t="s">
        <v>107</v>
      </c>
      <c r="M12" s="2634">
        <v>1782.5</v>
      </c>
    </row>
    <row r="13" spans="1:13" ht="23.25" customHeight="1" x14ac:dyDescent="0.2">
      <c r="A13" s="2619"/>
      <c r="B13" s="2622"/>
      <c r="C13" s="1742" t="s">
        <v>3203</v>
      </c>
      <c r="D13" s="2625"/>
      <c r="E13" s="2628"/>
      <c r="F13" s="2188">
        <v>1534</v>
      </c>
      <c r="H13" s="2630"/>
      <c r="I13" s="2631"/>
      <c r="J13" s="2632"/>
      <c r="K13" s="2632"/>
      <c r="L13" s="2633"/>
      <c r="M13" s="2634"/>
    </row>
    <row r="14" spans="1:13" ht="21.75" customHeight="1" x14ac:dyDescent="0.2">
      <c r="A14" s="2620"/>
      <c r="B14" s="2623"/>
      <c r="C14" s="1742" t="s">
        <v>3204</v>
      </c>
      <c r="D14" s="2626"/>
      <c r="E14" s="2629"/>
      <c r="F14" s="2189">
        <v>1707.75</v>
      </c>
      <c r="H14" s="2630"/>
      <c r="I14" s="2631"/>
      <c r="J14" s="2632"/>
      <c r="K14" s="2632"/>
      <c r="L14" s="2633"/>
      <c r="M14" s="2634"/>
    </row>
    <row r="15" spans="1:13" ht="33.75" customHeight="1" x14ac:dyDescent="0.2">
      <c r="A15" s="2618"/>
      <c r="B15" s="2621" t="s">
        <v>2573</v>
      </c>
      <c r="C15" s="1742" t="s">
        <v>2587</v>
      </c>
      <c r="D15" s="2624" t="s">
        <v>2590</v>
      </c>
      <c r="E15" s="2627" t="s">
        <v>107</v>
      </c>
      <c r="F15" s="2188">
        <v>2416</v>
      </c>
      <c r="H15" s="2630"/>
      <c r="I15" s="2631" t="s">
        <v>1729</v>
      </c>
      <c r="J15" s="2632" t="s">
        <v>1730</v>
      </c>
      <c r="K15" s="2632" t="s">
        <v>145</v>
      </c>
      <c r="L15" s="2633" t="s">
        <v>107</v>
      </c>
      <c r="M15" s="2634">
        <v>1207.5</v>
      </c>
    </row>
    <row r="16" spans="1:13" ht="24" customHeight="1" x14ac:dyDescent="0.2">
      <c r="A16" s="2619"/>
      <c r="B16" s="2622"/>
      <c r="C16" s="1742" t="s">
        <v>3203</v>
      </c>
      <c r="D16" s="2625"/>
      <c r="E16" s="2628"/>
      <c r="F16" s="2188">
        <v>2996</v>
      </c>
      <c r="H16" s="2630"/>
      <c r="I16" s="2631"/>
      <c r="J16" s="2632"/>
      <c r="K16" s="2632"/>
      <c r="L16" s="2633"/>
      <c r="M16" s="2634"/>
    </row>
    <row r="17" spans="1:13" ht="24.75" customHeight="1" x14ac:dyDescent="0.2">
      <c r="A17" s="2620"/>
      <c r="B17" s="2623"/>
      <c r="C17" s="1742" t="s">
        <v>3204</v>
      </c>
      <c r="D17" s="2626"/>
      <c r="E17" s="2629"/>
      <c r="F17" s="2189">
        <v>3338.55</v>
      </c>
      <c r="H17" s="2630"/>
      <c r="I17" s="2631"/>
      <c r="J17" s="2632"/>
      <c r="K17" s="2632"/>
      <c r="L17" s="2633"/>
      <c r="M17" s="2634"/>
    </row>
    <row r="18" spans="1:13" ht="72.75" customHeight="1" x14ac:dyDescent="0.2">
      <c r="A18" s="956"/>
      <c r="B18" s="957" t="s">
        <v>32</v>
      </c>
      <c r="C18" s="2182" t="s">
        <v>1731</v>
      </c>
      <c r="D18" s="2182" t="s">
        <v>1732</v>
      </c>
      <c r="E18" s="2183" t="s">
        <v>107</v>
      </c>
      <c r="F18" s="2184">
        <v>2415</v>
      </c>
      <c r="H18" s="956"/>
      <c r="I18" s="957" t="s">
        <v>1721</v>
      </c>
      <c r="J18" s="958" t="s">
        <v>2574</v>
      </c>
      <c r="K18" s="2182" t="s">
        <v>145</v>
      </c>
      <c r="L18" s="2183" t="s">
        <v>107</v>
      </c>
      <c r="M18" s="2184">
        <v>1714.65</v>
      </c>
    </row>
    <row r="19" spans="1:13" ht="39.75" customHeight="1" x14ac:dyDescent="0.2">
      <c r="A19" s="2618"/>
      <c r="B19" s="957" t="s">
        <v>1711</v>
      </c>
      <c r="C19" s="2632" t="s">
        <v>1712</v>
      </c>
      <c r="D19" s="2182" t="s">
        <v>145</v>
      </c>
      <c r="E19" s="2183" t="s">
        <v>107</v>
      </c>
      <c r="F19" s="2184">
        <v>1633</v>
      </c>
      <c r="H19" s="2630"/>
      <c r="I19" s="2631" t="s">
        <v>1722</v>
      </c>
      <c r="J19" s="2632" t="s">
        <v>2575</v>
      </c>
      <c r="K19" s="2632" t="s">
        <v>145</v>
      </c>
      <c r="L19" s="2633" t="s">
        <v>107</v>
      </c>
      <c r="M19" s="2634">
        <v>1104</v>
      </c>
    </row>
    <row r="20" spans="1:13" ht="36.75" customHeight="1" x14ac:dyDescent="0.2">
      <c r="A20" s="2620"/>
      <c r="B20" s="957" t="s">
        <v>1713</v>
      </c>
      <c r="C20" s="2632"/>
      <c r="D20" s="2182" t="s">
        <v>2576</v>
      </c>
      <c r="E20" s="2183" t="s">
        <v>107</v>
      </c>
      <c r="F20" s="2184">
        <v>483</v>
      </c>
      <c r="H20" s="2630"/>
      <c r="I20" s="2631"/>
      <c r="J20" s="2632"/>
      <c r="K20" s="2632"/>
      <c r="L20" s="2633"/>
      <c r="M20" s="2634"/>
    </row>
    <row r="21" spans="1:13" ht="44.25" customHeight="1" x14ac:dyDescent="0.2">
      <c r="A21" s="2618"/>
      <c r="B21" s="957" t="s">
        <v>1714</v>
      </c>
      <c r="C21" s="2632" t="s">
        <v>2008</v>
      </c>
      <c r="D21" s="2182" t="s">
        <v>145</v>
      </c>
      <c r="E21" s="2183" t="s">
        <v>107</v>
      </c>
      <c r="F21" s="2184">
        <v>2760</v>
      </c>
      <c r="H21" s="2630"/>
      <c r="I21" s="2621" t="s">
        <v>1733</v>
      </c>
      <c r="J21" s="2632" t="s">
        <v>2577</v>
      </c>
      <c r="K21" s="2632" t="s">
        <v>2578</v>
      </c>
      <c r="L21" s="2633" t="s">
        <v>1734</v>
      </c>
      <c r="M21" s="2634">
        <v>2012.5</v>
      </c>
    </row>
    <row r="22" spans="1:13" ht="34.5" customHeight="1" x14ac:dyDescent="0.2">
      <c r="A22" s="2620"/>
      <c r="B22" s="957" t="s">
        <v>1715</v>
      </c>
      <c r="C22" s="2632"/>
      <c r="D22" s="2182" t="s">
        <v>2579</v>
      </c>
      <c r="E22" s="2183" t="s">
        <v>107</v>
      </c>
      <c r="F22" s="2184">
        <v>1610</v>
      </c>
      <c r="H22" s="2630"/>
      <c r="I22" s="2623"/>
      <c r="J22" s="2632"/>
      <c r="K22" s="2632"/>
      <c r="L22" s="2633"/>
      <c r="M22" s="2634"/>
    </row>
    <row r="23" spans="1:13" ht="42.75" customHeight="1" x14ac:dyDescent="0.2">
      <c r="A23" s="2618"/>
      <c r="B23" s="957" t="s">
        <v>1716</v>
      </c>
      <c r="C23" s="2632" t="s">
        <v>1712</v>
      </c>
      <c r="D23" s="2182" t="s">
        <v>145</v>
      </c>
      <c r="E23" s="2183" t="s">
        <v>107</v>
      </c>
      <c r="F23" s="2184">
        <v>2760</v>
      </c>
      <c r="H23" s="2630"/>
      <c r="I23" s="2631" t="s">
        <v>2580</v>
      </c>
      <c r="J23" s="2631"/>
      <c r="K23" s="2182" t="s">
        <v>2581</v>
      </c>
      <c r="L23" s="2183" t="s">
        <v>133</v>
      </c>
      <c r="M23" s="2184">
        <v>5817</v>
      </c>
    </row>
    <row r="24" spans="1:13" ht="39.75" customHeight="1" x14ac:dyDescent="0.2">
      <c r="A24" s="2620"/>
      <c r="B24" s="957" t="s">
        <v>1717</v>
      </c>
      <c r="C24" s="2632"/>
      <c r="D24" s="2182" t="s">
        <v>2582</v>
      </c>
      <c r="E24" s="2183" t="s">
        <v>107</v>
      </c>
      <c r="F24" s="2184">
        <v>448.5</v>
      </c>
      <c r="H24" s="2630"/>
      <c r="I24" s="2631" t="s">
        <v>1736</v>
      </c>
      <c r="J24" s="2631"/>
      <c r="K24" s="2182"/>
      <c r="L24" s="2183" t="s">
        <v>107</v>
      </c>
      <c r="M24" s="2184">
        <v>185</v>
      </c>
    </row>
    <row r="25" spans="1:13" ht="81.75" customHeight="1" x14ac:dyDescent="0.2">
      <c r="A25" s="956"/>
      <c r="B25" s="957" t="s">
        <v>1718</v>
      </c>
      <c r="C25" s="2182" t="s">
        <v>2583</v>
      </c>
      <c r="D25" s="2182" t="s">
        <v>145</v>
      </c>
      <c r="E25" s="2183" t="s">
        <v>146</v>
      </c>
      <c r="F25" s="1744" t="s">
        <v>2446</v>
      </c>
      <c r="H25" s="2630"/>
      <c r="I25" s="2182" t="s">
        <v>535</v>
      </c>
      <c r="J25" s="2632" t="s">
        <v>2447</v>
      </c>
      <c r="K25" s="2632"/>
      <c r="L25" s="2185" t="s">
        <v>107</v>
      </c>
      <c r="M25" s="1745">
        <v>8470</v>
      </c>
    </row>
    <row r="26" spans="1:13" ht="75" customHeight="1" x14ac:dyDescent="0.2">
      <c r="A26" s="956"/>
      <c r="B26" s="957" t="s">
        <v>1719</v>
      </c>
      <c r="C26" s="2182" t="s">
        <v>1720</v>
      </c>
      <c r="D26" s="2182" t="s">
        <v>145</v>
      </c>
      <c r="E26" s="2183" t="s">
        <v>107</v>
      </c>
      <c r="F26" s="2184">
        <v>2127.5</v>
      </c>
      <c r="H26" s="2630"/>
      <c r="I26" s="2182" t="s">
        <v>2448</v>
      </c>
      <c r="J26" s="2632" t="s">
        <v>2584</v>
      </c>
      <c r="K26" s="2632"/>
      <c r="L26" s="2183" t="s">
        <v>107</v>
      </c>
      <c r="M26" s="1746">
        <v>12460</v>
      </c>
    </row>
    <row r="27" spans="1:13" ht="65.25" customHeight="1" x14ac:dyDescent="0.2">
      <c r="A27" s="956"/>
      <c r="B27" s="957" t="s">
        <v>1725</v>
      </c>
      <c r="C27" s="958" t="s">
        <v>1726</v>
      </c>
      <c r="D27" s="2182" t="s">
        <v>145</v>
      </c>
      <c r="E27" s="2183" t="s">
        <v>107</v>
      </c>
      <c r="F27" s="2184">
        <v>1380</v>
      </c>
      <c r="H27" s="2630"/>
      <c r="I27" s="2182" t="s">
        <v>2450</v>
      </c>
      <c r="J27" s="2632" t="s">
        <v>2451</v>
      </c>
      <c r="K27" s="2632"/>
      <c r="L27" s="2183" t="s">
        <v>107</v>
      </c>
      <c r="M27" s="1746">
        <v>4760</v>
      </c>
    </row>
    <row r="28" spans="1:13" ht="38.25" customHeight="1" x14ac:dyDescent="0.2">
      <c r="A28" s="2630"/>
      <c r="B28" s="2638" t="s">
        <v>1723</v>
      </c>
      <c r="C28" s="2639" t="s">
        <v>1724</v>
      </c>
      <c r="D28" s="2639" t="s">
        <v>145</v>
      </c>
      <c r="E28" s="2633" t="s">
        <v>107</v>
      </c>
      <c r="F28" s="2634">
        <v>2006.75</v>
      </c>
      <c r="H28" s="2630"/>
      <c r="I28" s="2182" t="s">
        <v>2452</v>
      </c>
      <c r="J28" s="2632" t="s">
        <v>2453</v>
      </c>
      <c r="K28" s="2632"/>
      <c r="L28" s="2183" t="s">
        <v>107</v>
      </c>
      <c r="M28" s="1746">
        <v>2800</v>
      </c>
    </row>
    <row r="29" spans="1:13" ht="33" customHeight="1" x14ac:dyDescent="0.2">
      <c r="A29" s="2630"/>
      <c r="B29" s="2638"/>
      <c r="C29" s="2640"/>
      <c r="D29" s="2640"/>
      <c r="E29" s="2633"/>
      <c r="F29" s="2634"/>
      <c r="H29" s="2630"/>
      <c r="I29" s="2182" t="s">
        <v>2454</v>
      </c>
      <c r="J29" s="2632"/>
      <c r="K29" s="2632"/>
      <c r="L29" s="2183" t="s">
        <v>107</v>
      </c>
      <c r="M29" s="1746">
        <v>2800</v>
      </c>
    </row>
    <row r="30" spans="1:13" ht="36" customHeight="1" x14ac:dyDescent="0.2">
      <c r="A30" s="2630"/>
      <c r="B30" s="2638"/>
      <c r="C30" s="2641"/>
      <c r="D30" s="2641"/>
      <c r="E30" s="2633"/>
      <c r="F30" s="2634"/>
      <c r="H30" s="2382"/>
      <c r="I30" s="2635" t="s">
        <v>3426</v>
      </c>
      <c r="J30" s="2636"/>
      <c r="K30" s="2637"/>
      <c r="L30" s="2370" t="s">
        <v>107</v>
      </c>
      <c r="M30" s="1746">
        <v>150</v>
      </c>
    </row>
    <row r="31" spans="1:13" ht="18.75" customHeight="1" x14ac:dyDescent="0.2">
      <c r="A31" s="1737" t="s">
        <v>1737</v>
      </c>
      <c r="H31" s="2645" t="s">
        <v>2585</v>
      </c>
      <c r="I31" s="2645"/>
      <c r="J31" s="1743"/>
      <c r="L31" s="20"/>
    </row>
    <row r="32" spans="1:13" ht="7.5" customHeight="1" x14ac:dyDescent="0.2">
      <c r="H32" s="2645"/>
      <c r="I32" s="2645"/>
      <c r="J32" s="1743"/>
      <c r="L32" s="20"/>
    </row>
    <row r="33" spans="1:13" ht="19.5" customHeight="1" x14ac:dyDescent="0.2">
      <c r="A33" s="2646" t="s">
        <v>1738</v>
      </c>
      <c r="B33" s="2646"/>
      <c r="C33" s="2646"/>
      <c r="D33" s="2646"/>
      <c r="E33" s="2646"/>
      <c r="F33" s="2646"/>
      <c r="H33" s="2645"/>
      <c r="I33" s="2645"/>
      <c r="J33" s="1743"/>
      <c r="L33" s="20"/>
    </row>
    <row r="34" spans="1:13" ht="16.5" customHeight="1" x14ac:dyDescent="0.2">
      <c r="A34" s="1738"/>
      <c r="B34" s="1738"/>
      <c r="C34" s="1738"/>
      <c r="D34" s="1738"/>
      <c r="E34" s="1738"/>
      <c r="F34" s="1738"/>
      <c r="H34" s="2642" t="s">
        <v>2586</v>
      </c>
      <c r="I34" s="2642"/>
      <c r="J34" s="2642"/>
      <c r="L34" s="20"/>
    </row>
    <row r="35" spans="1:13" ht="36" customHeight="1" x14ac:dyDescent="0.2">
      <c r="A35" s="2643" t="s">
        <v>1739</v>
      </c>
      <c r="B35" s="2643"/>
      <c r="C35" s="2643"/>
      <c r="D35" s="2643"/>
      <c r="E35" s="2643"/>
      <c r="F35" s="2643"/>
      <c r="H35" s="2644" t="s">
        <v>156</v>
      </c>
      <c r="I35" s="2644"/>
      <c r="J35" s="2644"/>
      <c r="L35" s="20"/>
    </row>
    <row r="36" spans="1:13" ht="18.75" customHeight="1" x14ac:dyDescent="0.2">
      <c r="B36" s="2186"/>
      <c r="C36" s="2186"/>
      <c r="D36" s="2186"/>
      <c r="E36" s="2186"/>
      <c r="F36" s="2186"/>
      <c r="H36" s="1638"/>
      <c r="I36" s="1638"/>
      <c r="J36" s="1638"/>
      <c r="L36" s="80"/>
      <c r="M36" s="81"/>
    </row>
    <row r="37" spans="1:13" ht="12.75" customHeight="1" x14ac:dyDescent="0.2">
      <c r="H37" s="1638"/>
      <c r="I37" s="1638"/>
      <c r="J37" s="1638"/>
    </row>
    <row r="38" spans="1:13" x14ac:dyDescent="0.2">
      <c r="H38" s="20"/>
      <c r="L38" s="20"/>
    </row>
    <row r="39" spans="1:13" x14ac:dyDescent="0.2">
      <c r="H39" s="20"/>
      <c r="L39" s="20"/>
    </row>
    <row r="40" spans="1:13" x14ac:dyDescent="0.2">
      <c r="H40" s="20"/>
      <c r="L40" s="20"/>
    </row>
  </sheetData>
  <mergeCells count="81">
    <mergeCell ref="H34:J34"/>
    <mergeCell ref="A35:F35"/>
    <mergeCell ref="H35:J35"/>
    <mergeCell ref="H25:H26"/>
    <mergeCell ref="J25:K25"/>
    <mergeCell ref="J26:K26"/>
    <mergeCell ref="H27:H29"/>
    <mergeCell ref="J27:K27"/>
    <mergeCell ref="J28:K29"/>
    <mergeCell ref="H31:I33"/>
    <mergeCell ref="A33:F33"/>
    <mergeCell ref="A21:A22"/>
    <mergeCell ref="C21:C22"/>
    <mergeCell ref="H21:H22"/>
    <mergeCell ref="I21:I22"/>
    <mergeCell ref="I30:K30"/>
    <mergeCell ref="A28:A30"/>
    <mergeCell ref="B28:B30"/>
    <mergeCell ref="C28:C30"/>
    <mergeCell ref="D28:D30"/>
    <mergeCell ref="E28:E30"/>
    <mergeCell ref="F28:F30"/>
    <mergeCell ref="J21:J22"/>
    <mergeCell ref="A23:A24"/>
    <mergeCell ref="C23:C24"/>
    <mergeCell ref="H23:H24"/>
    <mergeCell ref="I23:J23"/>
    <mergeCell ref="I24:J24"/>
    <mergeCell ref="K19:K20"/>
    <mergeCell ref="L19:L20"/>
    <mergeCell ref="M19:M20"/>
    <mergeCell ref="L21:L22"/>
    <mergeCell ref="M21:M22"/>
    <mergeCell ref="K21:K22"/>
    <mergeCell ref="A19:A20"/>
    <mergeCell ref="C19:C20"/>
    <mergeCell ref="H19:H20"/>
    <mergeCell ref="I19:I20"/>
    <mergeCell ref="J19:J20"/>
    <mergeCell ref="I15:I17"/>
    <mergeCell ref="J15:J17"/>
    <mergeCell ref="K15:K17"/>
    <mergeCell ref="L15:L17"/>
    <mergeCell ref="M15:M17"/>
    <mergeCell ref="A15:A17"/>
    <mergeCell ref="B15:B17"/>
    <mergeCell ref="D15:D17"/>
    <mergeCell ref="E15:E17"/>
    <mergeCell ref="H15:H17"/>
    <mergeCell ref="I12:I14"/>
    <mergeCell ref="J12:J14"/>
    <mergeCell ref="K12:K14"/>
    <mergeCell ref="L12:L14"/>
    <mergeCell ref="M12:M14"/>
    <mergeCell ref="A12:A14"/>
    <mergeCell ref="B12:B14"/>
    <mergeCell ref="D12:D14"/>
    <mergeCell ref="E12:E14"/>
    <mergeCell ref="H12:H14"/>
    <mergeCell ref="I9:I11"/>
    <mergeCell ref="J9:J11"/>
    <mergeCell ref="K9:K11"/>
    <mergeCell ref="L9:L11"/>
    <mergeCell ref="M9:M11"/>
    <mergeCell ref="A9:A11"/>
    <mergeCell ref="B9:B11"/>
    <mergeCell ref="D9:D11"/>
    <mergeCell ref="E9:E11"/>
    <mergeCell ref="H9:H11"/>
    <mergeCell ref="A1:M4"/>
    <mergeCell ref="A5:M5"/>
    <mergeCell ref="A7:A8"/>
    <mergeCell ref="B7:C8"/>
    <mergeCell ref="D7:D8"/>
    <mergeCell ref="E7:E8"/>
    <mergeCell ref="F7:F8"/>
    <mergeCell ref="H7:H8"/>
    <mergeCell ref="I7:J8"/>
    <mergeCell ref="K7:K8"/>
    <mergeCell ref="L7:L8"/>
    <mergeCell ref="M7:M8"/>
  </mergeCells>
  <printOptions horizontalCentered="1"/>
  <pageMargins left="0.11811023622047245" right="0" top="0" bottom="0" header="0" footer="0"/>
  <pageSetup paperSize="9" scale="46" orientation="landscape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N55"/>
  <sheetViews>
    <sheetView topLeftCell="A34" zoomScale="70" zoomScaleNormal="70" zoomScaleSheetLayoutView="40" workbookViewId="0">
      <selection sqref="A1:C2"/>
    </sheetView>
  </sheetViews>
  <sheetFormatPr defaultRowHeight="12.75" x14ac:dyDescent="0.2"/>
  <cols>
    <col min="1" max="1" width="41.140625" style="77" customWidth="1"/>
    <col min="2" max="2" width="53.28515625" style="959" customWidth="1"/>
    <col min="3" max="3" width="12.42578125" style="77" customWidth="1"/>
    <col min="4" max="4" width="18.5703125" style="77" customWidth="1"/>
    <col min="5" max="5" width="6.5703125" style="77" customWidth="1"/>
    <col min="6" max="6" width="17.28515625" style="77" customWidth="1"/>
    <col min="7" max="8" width="2.42578125" style="77" customWidth="1"/>
    <col min="9" max="9" width="41" style="77" customWidth="1"/>
    <col min="10" max="10" width="53.7109375" style="77" customWidth="1"/>
    <col min="11" max="11" width="12.42578125" style="77" customWidth="1"/>
    <col min="12" max="12" width="20.85546875" style="77" customWidth="1"/>
    <col min="13" max="13" width="6.7109375" style="77" customWidth="1"/>
    <col min="14" max="14" width="16.7109375" style="77" customWidth="1"/>
    <col min="15" max="16384" width="9.140625" style="77"/>
  </cols>
  <sheetData>
    <row r="1" spans="1:14" ht="15" customHeight="1" x14ac:dyDescent="0.2">
      <c r="A1" s="2609"/>
      <c r="B1" s="2609"/>
      <c r="C1" s="2609"/>
      <c r="D1" s="2609"/>
      <c r="E1" s="2609"/>
      <c r="F1" s="2609"/>
      <c r="G1" s="2609"/>
      <c r="H1" s="2609"/>
      <c r="I1" s="2609"/>
      <c r="J1" s="2609"/>
      <c r="K1" s="2609"/>
      <c r="L1" s="2609"/>
      <c r="M1" s="2609"/>
      <c r="N1" s="2609"/>
    </row>
    <row r="2" spans="1:14" ht="15" customHeight="1" x14ac:dyDescent="0.2">
      <c r="A2" s="2609"/>
      <c r="B2" s="2609"/>
      <c r="C2" s="2609"/>
      <c r="D2" s="2609"/>
      <c r="E2" s="2609"/>
      <c r="F2" s="2609"/>
      <c r="G2" s="2609"/>
      <c r="H2" s="2609"/>
      <c r="I2" s="2609"/>
      <c r="J2" s="2609"/>
      <c r="K2" s="2609"/>
      <c r="L2" s="2609"/>
      <c r="M2" s="2609"/>
      <c r="N2" s="2609"/>
    </row>
    <row r="3" spans="1:14" ht="15" customHeight="1" x14ac:dyDescent="0.2">
      <c r="A3" s="2609"/>
      <c r="B3" s="2609"/>
      <c r="C3" s="2609"/>
      <c r="D3" s="2609"/>
      <c r="E3" s="2609"/>
      <c r="F3" s="2609"/>
      <c r="G3" s="2609"/>
      <c r="H3" s="2609"/>
      <c r="I3" s="2609"/>
      <c r="J3" s="2609"/>
      <c r="K3" s="2609"/>
      <c r="L3" s="2609"/>
      <c r="M3" s="2609"/>
      <c r="N3" s="2609"/>
    </row>
    <row r="4" spans="1:14" ht="90.75" customHeight="1" thickBot="1" x14ac:dyDescent="0.25">
      <c r="A4" s="2610"/>
      <c r="B4" s="2610"/>
      <c r="C4" s="2610"/>
      <c r="D4" s="2610"/>
      <c r="E4" s="2610"/>
      <c r="F4" s="2610"/>
      <c r="G4" s="2610"/>
      <c r="H4" s="2610"/>
      <c r="I4" s="2610"/>
      <c r="J4" s="2610"/>
      <c r="K4" s="2610"/>
      <c r="L4" s="2610"/>
      <c r="M4" s="2610"/>
      <c r="N4" s="2610"/>
    </row>
    <row r="5" spans="1:14" ht="27.75" customHeight="1" thickTop="1" x14ac:dyDescent="0.3">
      <c r="A5" s="2661" t="s">
        <v>100</v>
      </c>
      <c r="B5" s="2661"/>
      <c r="C5" s="2661"/>
      <c r="D5" s="2661"/>
      <c r="E5" s="2661"/>
      <c r="F5" s="2661"/>
      <c r="G5" s="2661"/>
      <c r="H5" s="2661"/>
      <c r="I5" s="2661"/>
      <c r="J5" s="2661"/>
      <c r="K5" s="2661"/>
      <c r="L5" s="2661"/>
      <c r="M5" s="2661"/>
      <c r="N5" s="2661"/>
    </row>
    <row r="6" spans="1:14" ht="15.75" x14ac:dyDescent="0.2">
      <c r="A6" s="78"/>
      <c r="B6" s="79"/>
      <c r="C6" s="79"/>
      <c r="D6" s="79"/>
      <c r="E6" s="79"/>
      <c r="F6" s="79"/>
      <c r="I6" s="78"/>
      <c r="J6" s="1891"/>
      <c r="K6" s="1891"/>
      <c r="L6" s="1892" t="s">
        <v>2897</v>
      </c>
      <c r="M6" s="79"/>
    </row>
    <row r="7" spans="1:14" ht="20.25" customHeight="1" x14ac:dyDescent="0.2">
      <c r="A7" s="2662" t="s">
        <v>285</v>
      </c>
      <c r="B7" s="2662" t="s">
        <v>101</v>
      </c>
      <c r="C7" s="2664" t="s">
        <v>102</v>
      </c>
      <c r="D7" s="2664" t="s">
        <v>103</v>
      </c>
      <c r="E7" s="2664" t="s">
        <v>104</v>
      </c>
      <c r="F7" s="1456" t="s">
        <v>2419</v>
      </c>
      <c r="I7" s="2662" t="s">
        <v>285</v>
      </c>
      <c r="J7" s="2662" t="s">
        <v>101</v>
      </c>
      <c r="K7" s="2664" t="s">
        <v>102</v>
      </c>
      <c r="L7" s="2664" t="s">
        <v>103</v>
      </c>
      <c r="M7" s="2664" t="s">
        <v>104</v>
      </c>
      <c r="N7" s="1456" t="s">
        <v>2419</v>
      </c>
    </row>
    <row r="8" spans="1:14" ht="23.25" customHeight="1" x14ac:dyDescent="0.2">
      <c r="A8" s="2663"/>
      <c r="B8" s="2663"/>
      <c r="C8" s="2665"/>
      <c r="D8" s="2665"/>
      <c r="E8" s="2665"/>
      <c r="F8" s="1456" t="s">
        <v>2420</v>
      </c>
      <c r="I8" s="2663"/>
      <c r="J8" s="2663"/>
      <c r="K8" s="2665"/>
      <c r="L8" s="2665"/>
      <c r="M8" s="2665"/>
      <c r="N8" s="1456" t="s">
        <v>2420</v>
      </c>
    </row>
    <row r="9" spans="1:14" ht="19.5" customHeight="1" x14ac:dyDescent="0.2">
      <c r="A9" s="2618"/>
      <c r="B9" s="2632" t="s">
        <v>2421</v>
      </c>
      <c r="C9" s="2632"/>
      <c r="D9" s="2656" t="s">
        <v>2527</v>
      </c>
      <c r="E9" s="2110" t="s">
        <v>107</v>
      </c>
      <c r="F9" s="2121" t="s">
        <v>2422</v>
      </c>
      <c r="I9" s="2630"/>
      <c r="J9" s="2632" t="s">
        <v>108</v>
      </c>
      <c r="K9" s="2668" t="s">
        <v>109</v>
      </c>
      <c r="L9" s="2666" t="s">
        <v>2078</v>
      </c>
      <c r="M9" s="2633" t="s">
        <v>107</v>
      </c>
      <c r="N9" s="2667">
        <v>1128</v>
      </c>
    </row>
    <row r="10" spans="1:14" ht="16.5" customHeight="1" x14ac:dyDescent="0.2">
      <c r="A10" s="2619"/>
      <c r="B10" s="2632" t="s">
        <v>2423</v>
      </c>
      <c r="C10" s="2632"/>
      <c r="D10" s="2660"/>
      <c r="E10" s="2110" t="s">
        <v>107</v>
      </c>
      <c r="F10" s="2121" t="s">
        <v>2825</v>
      </c>
      <c r="I10" s="2630"/>
      <c r="J10" s="2632"/>
      <c r="K10" s="2668"/>
      <c r="L10" s="2666"/>
      <c r="M10" s="2633"/>
      <c r="N10" s="2667"/>
    </row>
    <row r="11" spans="1:14" ht="18.75" customHeight="1" x14ac:dyDescent="0.2">
      <c r="A11" s="2619"/>
      <c r="B11" s="2632" t="s">
        <v>2424</v>
      </c>
      <c r="C11" s="2632"/>
      <c r="D11" s="2660"/>
      <c r="E11" s="2110" t="s">
        <v>107</v>
      </c>
      <c r="F11" s="2121" t="s">
        <v>2826</v>
      </c>
      <c r="I11" s="2630"/>
      <c r="J11" s="2632" t="s">
        <v>111</v>
      </c>
      <c r="K11" s="2668"/>
      <c r="L11" s="2666"/>
      <c r="M11" s="2633" t="s">
        <v>107</v>
      </c>
      <c r="N11" s="2667">
        <v>1128</v>
      </c>
    </row>
    <row r="12" spans="1:14" ht="18.75" customHeight="1" x14ac:dyDescent="0.2">
      <c r="A12" s="2619"/>
      <c r="B12" s="2632" t="s">
        <v>2425</v>
      </c>
      <c r="C12" s="2632"/>
      <c r="D12" s="2660"/>
      <c r="E12" s="2110" t="s">
        <v>107</v>
      </c>
      <c r="F12" s="2121" t="s">
        <v>2426</v>
      </c>
      <c r="I12" s="2630"/>
      <c r="J12" s="2632"/>
      <c r="K12" s="2668"/>
      <c r="L12" s="2666"/>
      <c r="M12" s="2633"/>
      <c r="N12" s="2667"/>
    </row>
    <row r="13" spans="1:14" ht="18.75" customHeight="1" thickBot="1" x14ac:dyDescent="0.25">
      <c r="A13" s="2619"/>
      <c r="B13" s="2655" t="s">
        <v>2427</v>
      </c>
      <c r="C13" s="2655"/>
      <c r="D13" s="2654"/>
      <c r="E13" s="1703" t="s">
        <v>107</v>
      </c>
      <c r="F13" s="1705">
        <v>758</v>
      </c>
      <c r="I13" s="2630"/>
      <c r="J13" s="2632" t="s">
        <v>112</v>
      </c>
      <c r="K13" s="2668" t="s">
        <v>113</v>
      </c>
      <c r="L13" s="2666" t="s">
        <v>2078</v>
      </c>
      <c r="M13" s="2633" t="s">
        <v>107</v>
      </c>
      <c r="N13" s="2667">
        <v>795</v>
      </c>
    </row>
    <row r="14" spans="1:14" ht="25.5" customHeight="1" x14ac:dyDescent="0.2">
      <c r="A14" s="2619"/>
      <c r="B14" s="2658" t="s">
        <v>2428</v>
      </c>
      <c r="C14" s="2658"/>
      <c r="D14" s="2653" t="s">
        <v>2528</v>
      </c>
      <c r="E14" s="1704" t="s">
        <v>107</v>
      </c>
      <c r="F14" s="1890" t="s">
        <v>2827</v>
      </c>
      <c r="I14" s="2630"/>
      <c r="J14" s="2632"/>
      <c r="K14" s="2668"/>
      <c r="L14" s="2666"/>
      <c r="M14" s="2633"/>
      <c r="N14" s="2667"/>
    </row>
    <row r="15" spans="1:14" ht="33.75" customHeight="1" thickBot="1" x14ac:dyDescent="0.25">
      <c r="A15" s="2619"/>
      <c r="B15" s="2655" t="s">
        <v>2429</v>
      </c>
      <c r="C15" s="2655"/>
      <c r="D15" s="2654"/>
      <c r="E15" s="1703" t="s">
        <v>107</v>
      </c>
      <c r="F15" s="1705" t="s">
        <v>2828</v>
      </c>
      <c r="I15" s="2618"/>
      <c r="J15" s="2109" t="s">
        <v>117</v>
      </c>
      <c r="K15" s="2656" t="s">
        <v>118</v>
      </c>
      <c r="L15" s="2120" t="s">
        <v>2078</v>
      </c>
      <c r="M15" s="2110" t="s">
        <v>107</v>
      </c>
      <c r="N15" s="2121">
        <v>1243</v>
      </c>
    </row>
    <row r="16" spans="1:14" ht="32.25" customHeight="1" x14ac:dyDescent="0.2">
      <c r="A16" s="2619"/>
      <c r="B16" s="2658" t="s">
        <v>2430</v>
      </c>
      <c r="C16" s="2658"/>
      <c r="D16" s="2653" t="s">
        <v>2529</v>
      </c>
      <c r="E16" s="1704" t="s">
        <v>107</v>
      </c>
      <c r="F16" s="1890" t="s">
        <v>2431</v>
      </c>
      <c r="I16" s="2619"/>
      <c r="J16" s="2109" t="s">
        <v>121</v>
      </c>
      <c r="K16" s="2657"/>
      <c r="L16" s="2120" t="s">
        <v>2078</v>
      </c>
      <c r="M16" s="2110" t="s">
        <v>107</v>
      </c>
      <c r="N16" s="2121">
        <v>1243</v>
      </c>
    </row>
    <row r="17" spans="1:14" ht="33" customHeight="1" x14ac:dyDescent="0.2">
      <c r="A17" s="2619"/>
      <c r="B17" s="2632" t="s">
        <v>2432</v>
      </c>
      <c r="C17" s="2632"/>
      <c r="D17" s="2660"/>
      <c r="E17" s="2215" t="s">
        <v>107</v>
      </c>
      <c r="F17" s="2218" t="s">
        <v>2433</v>
      </c>
      <c r="I17" s="2619"/>
      <c r="J17" s="2109" t="s">
        <v>123</v>
      </c>
      <c r="K17" s="2656" t="s">
        <v>124</v>
      </c>
      <c r="L17" s="2120" t="s">
        <v>2078</v>
      </c>
      <c r="M17" s="2110" t="s">
        <v>107</v>
      </c>
      <c r="N17" s="2121">
        <v>1627</v>
      </c>
    </row>
    <row r="18" spans="1:14" ht="33.75" customHeight="1" x14ac:dyDescent="0.2">
      <c r="A18" s="2619"/>
      <c r="B18" s="2639" t="s">
        <v>2434</v>
      </c>
      <c r="C18" s="2639"/>
      <c r="D18" s="2660"/>
      <c r="E18" s="2213" t="s">
        <v>107</v>
      </c>
      <c r="F18" s="2219" t="s">
        <v>2435</v>
      </c>
      <c r="I18" s="2619"/>
      <c r="J18" s="2639" t="s">
        <v>127</v>
      </c>
      <c r="K18" s="2660"/>
      <c r="L18" s="2647" t="s">
        <v>2078</v>
      </c>
      <c r="M18" s="2627" t="s">
        <v>107</v>
      </c>
      <c r="N18" s="2649">
        <v>1627</v>
      </c>
    </row>
    <row r="19" spans="1:14" ht="33.75" customHeight="1" thickBot="1" x14ac:dyDescent="0.25">
      <c r="A19" s="2659"/>
      <c r="B19" s="2651" t="s">
        <v>3223</v>
      </c>
      <c r="C19" s="2652"/>
      <c r="D19" s="2654"/>
      <c r="E19" s="1703" t="s">
        <v>107</v>
      </c>
      <c r="F19" s="1705">
        <v>668</v>
      </c>
      <c r="I19" s="2620"/>
      <c r="J19" s="2641"/>
      <c r="K19" s="2657"/>
      <c r="L19" s="2648"/>
      <c r="M19" s="2629"/>
      <c r="N19" s="2650"/>
    </row>
    <row r="20" spans="1:14" ht="56.25" customHeight="1" x14ac:dyDescent="0.2">
      <c r="A20" s="1636"/>
      <c r="B20" s="2112" t="s">
        <v>115</v>
      </c>
      <c r="C20" s="2115" t="s">
        <v>113</v>
      </c>
      <c r="D20" s="2113" t="s">
        <v>116</v>
      </c>
      <c r="E20" s="2111" t="s">
        <v>107</v>
      </c>
      <c r="F20" s="2114">
        <v>1212</v>
      </c>
      <c r="I20" s="2630"/>
      <c r="J20" s="2109" t="s">
        <v>129</v>
      </c>
      <c r="K20" s="2656" t="s">
        <v>109</v>
      </c>
      <c r="L20" s="2120" t="s">
        <v>2436</v>
      </c>
      <c r="M20" s="2110" t="s">
        <v>107</v>
      </c>
      <c r="N20" s="2121">
        <v>1183</v>
      </c>
    </row>
    <row r="21" spans="1:14" ht="42.75" customHeight="1" x14ac:dyDescent="0.2">
      <c r="A21" s="2618"/>
      <c r="B21" s="2109" t="s">
        <v>119</v>
      </c>
      <c r="C21" s="2656" t="s">
        <v>120</v>
      </c>
      <c r="D21" s="2120" t="s">
        <v>126</v>
      </c>
      <c r="E21" s="2110" t="s">
        <v>107</v>
      </c>
      <c r="F21" s="2121">
        <v>619</v>
      </c>
      <c r="I21" s="2630"/>
      <c r="J21" s="2109" t="s">
        <v>131</v>
      </c>
      <c r="K21" s="2657"/>
      <c r="L21" s="2120" t="s">
        <v>2436</v>
      </c>
      <c r="M21" s="2110" t="s">
        <v>107</v>
      </c>
      <c r="N21" s="2121">
        <v>1183</v>
      </c>
    </row>
    <row r="22" spans="1:14" ht="39" customHeight="1" x14ac:dyDescent="0.2">
      <c r="A22" s="2620"/>
      <c r="B22" s="2109" t="s">
        <v>122</v>
      </c>
      <c r="C22" s="2657"/>
      <c r="D22" s="2120" t="s">
        <v>2437</v>
      </c>
      <c r="E22" s="2110" t="s">
        <v>107</v>
      </c>
      <c r="F22" s="2121">
        <v>2161</v>
      </c>
      <c r="I22" s="2630"/>
      <c r="J22" s="2214" t="s">
        <v>3222</v>
      </c>
      <c r="K22" s="2116" t="s">
        <v>124</v>
      </c>
      <c r="L22" s="2120" t="s">
        <v>138</v>
      </c>
      <c r="M22" s="2110" t="s">
        <v>107</v>
      </c>
      <c r="N22" s="2121">
        <v>1746</v>
      </c>
    </row>
    <row r="23" spans="1:14" ht="33" customHeight="1" x14ac:dyDescent="0.2">
      <c r="A23" s="2618"/>
      <c r="B23" s="2639" t="s">
        <v>125</v>
      </c>
      <c r="C23" s="2656" t="s">
        <v>120</v>
      </c>
      <c r="D23" s="2656" t="s">
        <v>126</v>
      </c>
      <c r="E23" s="2627" t="s">
        <v>107</v>
      </c>
      <c r="F23" s="2121">
        <v>1232</v>
      </c>
      <c r="I23" s="2618"/>
      <c r="J23" s="2109" t="s">
        <v>135</v>
      </c>
      <c r="K23" s="2668" t="s">
        <v>113</v>
      </c>
      <c r="L23" s="2217" t="s">
        <v>106</v>
      </c>
      <c r="M23" s="2110" t="s">
        <v>107</v>
      </c>
      <c r="N23" s="2121">
        <v>1535</v>
      </c>
    </row>
    <row r="24" spans="1:14" ht="33" customHeight="1" x14ac:dyDescent="0.2">
      <c r="A24" s="2619"/>
      <c r="B24" s="2641"/>
      <c r="C24" s="2660"/>
      <c r="D24" s="2657"/>
      <c r="E24" s="2629"/>
      <c r="F24" s="2121">
        <v>1232</v>
      </c>
      <c r="I24" s="2619"/>
      <c r="J24" s="2109" t="s">
        <v>2829</v>
      </c>
      <c r="K24" s="2668"/>
      <c r="L24" s="2120" t="s">
        <v>2442</v>
      </c>
      <c r="M24" s="2110" t="s">
        <v>133</v>
      </c>
      <c r="N24" s="2121">
        <v>1273</v>
      </c>
    </row>
    <row r="25" spans="1:14" ht="31.5" customHeight="1" x14ac:dyDescent="0.2">
      <c r="A25" s="2620"/>
      <c r="B25" s="2109" t="s">
        <v>128</v>
      </c>
      <c r="C25" s="2660"/>
      <c r="D25" s="2120" t="s">
        <v>126</v>
      </c>
      <c r="E25" s="2110" t="s">
        <v>107</v>
      </c>
      <c r="F25" s="2649">
        <v>3214</v>
      </c>
      <c r="I25" s="2619"/>
      <c r="J25" s="2109" t="s">
        <v>2438</v>
      </c>
      <c r="K25" s="2668"/>
      <c r="L25" s="2120" t="s">
        <v>2439</v>
      </c>
      <c r="M25" s="2110" t="s">
        <v>133</v>
      </c>
      <c r="N25" s="2121">
        <v>5468</v>
      </c>
    </row>
    <row r="26" spans="1:14" ht="34.5" customHeight="1" x14ac:dyDescent="0.2">
      <c r="A26" s="2618"/>
      <c r="B26" s="2109" t="s">
        <v>130</v>
      </c>
      <c r="C26" s="2657"/>
      <c r="D26" s="2120" t="s">
        <v>2440</v>
      </c>
      <c r="E26" s="2110" t="s">
        <v>107</v>
      </c>
      <c r="F26" s="2650"/>
      <c r="I26" s="2620"/>
      <c r="J26" s="2109" t="s">
        <v>2441</v>
      </c>
      <c r="K26" s="2668"/>
      <c r="L26" s="2117" t="s">
        <v>2442</v>
      </c>
      <c r="M26" s="2110" t="s">
        <v>133</v>
      </c>
      <c r="N26" s="2121">
        <v>2282</v>
      </c>
    </row>
    <row r="27" spans="1:14" ht="34.5" customHeight="1" x14ac:dyDescent="0.2">
      <c r="A27" s="2619"/>
      <c r="B27" s="2109" t="s">
        <v>132</v>
      </c>
      <c r="C27" s="2656" t="s">
        <v>120</v>
      </c>
      <c r="D27" s="2119" t="s">
        <v>106</v>
      </c>
      <c r="E27" s="2110" t="s">
        <v>107</v>
      </c>
      <c r="F27" s="2121">
        <v>6871</v>
      </c>
      <c r="I27" s="2630"/>
      <c r="J27" s="2109" t="s">
        <v>140</v>
      </c>
      <c r="K27" s="2656" t="s">
        <v>118</v>
      </c>
      <c r="L27" s="2117" t="s">
        <v>141</v>
      </c>
      <c r="M27" s="2110" t="s">
        <v>107</v>
      </c>
      <c r="N27" s="2118">
        <v>8601</v>
      </c>
    </row>
    <row r="28" spans="1:14" ht="33.75" customHeight="1" x14ac:dyDescent="0.2">
      <c r="A28" s="2619"/>
      <c r="B28" s="2109" t="s">
        <v>134</v>
      </c>
      <c r="C28" s="2660"/>
      <c r="D28" s="2119" t="s">
        <v>106</v>
      </c>
      <c r="E28" s="2110" t="s">
        <v>107</v>
      </c>
      <c r="F28" s="2121">
        <v>7131</v>
      </c>
      <c r="I28" s="2630"/>
      <c r="J28" s="2109" t="s">
        <v>143</v>
      </c>
      <c r="K28" s="2657"/>
      <c r="L28" s="2117" t="s">
        <v>144</v>
      </c>
      <c r="M28" s="2110" t="s">
        <v>107</v>
      </c>
      <c r="N28" s="1746">
        <v>4777</v>
      </c>
    </row>
    <row r="29" spans="1:14" ht="28.5" customHeight="1" x14ac:dyDescent="0.2">
      <c r="A29" s="2620"/>
      <c r="B29" s="2109" t="s">
        <v>137</v>
      </c>
      <c r="C29" s="2657"/>
      <c r="D29" s="2119" t="s">
        <v>106</v>
      </c>
      <c r="E29" s="2110" t="s">
        <v>107</v>
      </c>
      <c r="F29" s="2121">
        <v>6458</v>
      </c>
      <c r="I29" s="2630"/>
      <c r="J29" s="2109" t="s">
        <v>154</v>
      </c>
      <c r="K29" s="2116" t="s">
        <v>118</v>
      </c>
      <c r="L29" s="2117" t="s">
        <v>155</v>
      </c>
      <c r="M29" s="2110" t="s">
        <v>107</v>
      </c>
      <c r="N29" s="1746">
        <v>6838</v>
      </c>
    </row>
    <row r="30" spans="1:14" ht="36.75" customHeight="1" x14ac:dyDescent="0.2">
      <c r="A30" s="2630"/>
      <c r="B30" s="2109" t="s">
        <v>139</v>
      </c>
      <c r="C30" s="2668" t="s">
        <v>109</v>
      </c>
      <c r="D30" s="2119" t="s">
        <v>2078</v>
      </c>
      <c r="E30" s="2110" t="s">
        <v>107</v>
      </c>
      <c r="F30" s="2121">
        <v>1196</v>
      </c>
      <c r="I30" s="2630"/>
      <c r="J30" s="2109" t="s">
        <v>149</v>
      </c>
      <c r="K30" s="2116" t="s">
        <v>109</v>
      </c>
      <c r="L30" s="2117" t="s">
        <v>150</v>
      </c>
      <c r="M30" s="2110" t="s">
        <v>107</v>
      </c>
      <c r="N30" s="2118">
        <v>8649</v>
      </c>
    </row>
    <row r="31" spans="1:14" ht="36" customHeight="1" x14ac:dyDescent="0.2">
      <c r="A31" s="2630"/>
      <c r="B31" s="2109" t="s">
        <v>142</v>
      </c>
      <c r="C31" s="2668"/>
      <c r="D31" s="2119" t="s">
        <v>106</v>
      </c>
      <c r="E31" s="2110" t="s">
        <v>107</v>
      </c>
      <c r="F31" s="2121">
        <v>670</v>
      </c>
      <c r="I31" s="2630"/>
      <c r="J31" s="2109" t="s">
        <v>152</v>
      </c>
      <c r="K31" s="2116" t="s">
        <v>109</v>
      </c>
      <c r="L31" s="2117" t="s">
        <v>150</v>
      </c>
      <c r="M31" s="2110" t="s">
        <v>107</v>
      </c>
      <c r="N31" s="1746">
        <v>4092</v>
      </c>
    </row>
    <row r="32" spans="1:14" ht="45" customHeight="1" x14ac:dyDescent="0.2">
      <c r="A32" s="2618"/>
      <c r="B32" s="2109" t="s">
        <v>148</v>
      </c>
      <c r="C32" s="2116" t="s">
        <v>113</v>
      </c>
      <c r="D32" s="2120" t="s">
        <v>2443</v>
      </c>
      <c r="E32" s="2110" t="s">
        <v>107</v>
      </c>
      <c r="F32" s="2121">
        <v>891</v>
      </c>
      <c r="I32" s="2630"/>
      <c r="J32" s="2632" t="s">
        <v>2444</v>
      </c>
      <c r="K32" s="2668" t="s">
        <v>124</v>
      </c>
      <c r="L32" s="2669" t="s">
        <v>147</v>
      </c>
      <c r="M32" s="2633" t="s">
        <v>107</v>
      </c>
      <c r="N32" s="2670">
        <v>8616</v>
      </c>
    </row>
    <row r="33" spans="1:14" ht="33" customHeight="1" x14ac:dyDescent="0.2">
      <c r="A33" s="2619"/>
      <c r="B33" s="2639" t="s">
        <v>2445</v>
      </c>
      <c r="C33" s="2656" t="s">
        <v>113</v>
      </c>
      <c r="D33" s="2647" t="s">
        <v>145</v>
      </c>
      <c r="E33" s="2627" t="s">
        <v>146</v>
      </c>
      <c r="F33" s="2671" t="s">
        <v>2446</v>
      </c>
      <c r="I33" s="2630"/>
      <c r="J33" s="2632"/>
      <c r="K33" s="2668"/>
      <c r="L33" s="2669"/>
      <c r="M33" s="2633"/>
      <c r="N33" s="2670"/>
    </row>
    <row r="34" spans="1:14" ht="60.75" customHeight="1" x14ac:dyDescent="0.2">
      <c r="A34" s="2620"/>
      <c r="B34" s="2641"/>
      <c r="C34" s="2657"/>
      <c r="D34" s="2648"/>
      <c r="E34" s="2629"/>
      <c r="F34" s="2671"/>
      <c r="I34" s="2618"/>
      <c r="J34" s="2109" t="s">
        <v>535</v>
      </c>
      <c r="K34" s="2672" t="s">
        <v>2447</v>
      </c>
      <c r="L34" s="2673"/>
      <c r="M34" s="2110" t="s">
        <v>107</v>
      </c>
      <c r="N34" s="1746">
        <v>8470</v>
      </c>
    </row>
    <row r="35" spans="1:14" ht="66.75" customHeight="1" x14ac:dyDescent="0.2">
      <c r="A35" s="2630"/>
      <c r="B35" s="958" t="s">
        <v>114</v>
      </c>
      <c r="C35" s="2371" t="s">
        <v>113</v>
      </c>
      <c r="D35" s="2372" t="s">
        <v>2078</v>
      </c>
      <c r="E35" s="2370" t="s">
        <v>107</v>
      </c>
      <c r="F35" s="2374">
        <v>897</v>
      </c>
      <c r="I35" s="2620"/>
      <c r="J35" s="2109" t="s">
        <v>2448</v>
      </c>
      <c r="K35" s="2672" t="s">
        <v>2449</v>
      </c>
      <c r="L35" s="2673"/>
      <c r="M35" s="2110" t="s">
        <v>107</v>
      </c>
      <c r="N35" s="1746">
        <v>12460</v>
      </c>
    </row>
    <row r="36" spans="1:14" ht="38.25" customHeight="1" x14ac:dyDescent="0.2">
      <c r="A36" s="2630"/>
      <c r="B36" s="2369" t="s">
        <v>151</v>
      </c>
      <c r="C36" s="2668" t="s">
        <v>118</v>
      </c>
      <c r="D36" s="2373" t="s">
        <v>2078</v>
      </c>
      <c r="E36" s="2370" t="s">
        <v>107</v>
      </c>
      <c r="F36" s="2374">
        <v>1160</v>
      </c>
      <c r="I36" s="2618"/>
      <c r="J36" s="2109" t="s">
        <v>2450</v>
      </c>
      <c r="K36" s="2672" t="s">
        <v>2451</v>
      </c>
      <c r="L36" s="2673"/>
      <c r="M36" s="2110" t="s">
        <v>107</v>
      </c>
      <c r="N36" s="1746">
        <v>4760</v>
      </c>
    </row>
    <row r="37" spans="1:14" ht="24.75" customHeight="1" x14ac:dyDescent="0.2">
      <c r="A37" s="2630"/>
      <c r="B37" s="2639" t="s">
        <v>153</v>
      </c>
      <c r="C37" s="2668"/>
      <c r="D37" s="2668" t="s">
        <v>2078</v>
      </c>
      <c r="E37" s="2633" t="s">
        <v>107</v>
      </c>
      <c r="F37" s="2667">
        <v>1160</v>
      </c>
      <c r="I37" s="2619"/>
      <c r="J37" s="2109" t="s">
        <v>2452</v>
      </c>
      <c r="K37" s="2674" t="s">
        <v>2453</v>
      </c>
      <c r="L37" s="2675"/>
      <c r="M37" s="2110" t="s">
        <v>107</v>
      </c>
      <c r="N37" s="1746">
        <v>2800</v>
      </c>
    </row>
    <row r="38" spans="1:14" ht="25.5" customHeight="1" x14ac:dyDescent="0.2">
      <c r="A38" s="2630"/>
      <c r="B38" s="2640"/>
      <c r="C38" s="2668"/>
      <c r="D38" s="2668"/>
      <c r="E38" s="2633"/>
      <c r="F38" s="2667"/>
      <c r="I38" s="2620"/>
      <c r="J38" s="2109" t="s">
        <v>2454</v>
      </c>
      <c r="K38" s="2676"/>
      <c r="L38" s="2677"/>
      <c r="M38" s="2110" t="s">
        <v>107</v>
      </c>
      <c r="N38" s="1746">
        <v>2800</v>
      </c>
    </row>
    <row r="39" spans="1:14" ht="42" customHeight="1" x14ac:dyDescent="0.2">
      <c r="A39" s="2630"/>
      <c r="B39" s="2641"/>
      <c r="C39" s="2668"/>
      <c r="D39" s="2668"/>
      <c r="E39" s="2633"/>
      <c r="F39" s="2667"/>
      <c r="G39" s="2229"/>
      <c r="H39" s="2229"/>
      <c r="I39" s="2382"/>
      <c r="J39" s="2635" t="s">
        <v>3426</v>
      </c>
      <c r="K39" s="2636"/>
      <c r="L39" s="2637"/>
      <c r="M39" s="2370" t="s">
        <v>107</v>
      </c>
      <c r="N39" s="1746">
        <v>150</v>
      </c>
    </row>
    <row r="40" spans="1:14" ht="15" customHeight="1" x14ac:dyDescent="0.2">
      <c r="A40" s="1637" t="s">
        <v>2455</v>
      </c>
      <c r="B40" s="2230"/>
      <c r="C40" s="2229"/>
      <c r="D40" s="2229"/>
      <c r="E40" s="2229"/>
      <c r="F40" s="2229"/>
      <c r="G40" s="2229"/>
      <c r="H40" s="2229"/>
      <c r="I40" s="2678" t="s">
        <v>2456</v>
      </c>
      <c r="J40" s="2678"/>
      <c r="K40" s="2678"/>
      <c r="M40" s="20"/>
    </row>
    <row r="41" spans="1:14" ht="7.5" customHeight="1" x14ac:dyDescent="0.2">
      <c r="A41" s="2229"/>
      <c r="B41" s="2230"/>
      <c r="C41" s="2229"/>
      <c r="D41" s="2229"/>
      <c r="E41" s="2229"/>
      <c r="F41" s="2229"/>
      <c r="G41" s="2229"/>
      <c r="H41" s="2229"/>
      <c r="I41" s="2678"/>
      <c r="J41" s="2678"/>
      <c r="K41" s="2678"/>
      <c r="M41" s="20"/>
    </row>
    <row r="42" spans="1:14" ht="14.25" customHeight="1" x14ac:dyDescent="0.2">
      <c r="A42" s="2646" t="s">
        <v>3221</v>
      </c>
      <c r="B42" s="2646"/>
      <c r="C42" s="2646"/>
      <c r="D42" s="2646"/>
      <c r="E42" s="2646"/>
      <c r="F42" s="2646"/>
      <c r="G42" s="2229"/>
      <c r="H42" s="2229"/>
      <c r="I42" s="2678"/>
      <c r="J42" s="2678"/>
      <c r="K42" s="2678"/>
      <c r="M42" s="20"/>
    </row>
    <row r="43" spans="1:14" ht="18.75" customHeight="1" x14ac:dyDescent="0.2">
      <c r="A43" s="2646"/>
      <c r="B43" s="2646"/>
      <c r="C43" s="2646"/>
      <c r="D43" s="2646"/>
      <c r="E43" s="2646"/>
      <c r="F43" s="2646"/>
      <c r="G43" s="2229"/>
      <c r="H43" s="2229"/>
      <c r="I43" s="2678"/>
      <c r="J43" s="2678"/>
      <c r="K43" s="2678"/>
      <c r="M43" s="20"/>
    </row>
    <row r="44" spans="1:14" ht="18.75" customHeight="1" x14ac:dyDescent="0.2">
      <c r="A44" s="1737" t="s">
        <v>3225</v>
      </c>
      <c r="B44" s="2216"/>
      <c r="C44" s="2216"/>
      <c r="D44" s="2216"/>
      <c r="E44" s="2216"/>
      <c r="F44" s="2216"/>
      <c r="G44" s="2229"/>
      <c r="H44" s="2229"/>
      <c r="I44" s="2231"/>
      <c r="J44" s="2231"/>
      <c r="K44" s="2231"/>
      <c r="M44" s="20"/>
    </row>
    <row r="45" spans="1:14" ht="16.5" customHeight="1" x14ac:dyDescent="0.2">
      <c r="A45" s="2646" t="s">
        <v>3224</v>
      </c>
      <c r="B45" s="2646"/>
      <c r="C45" s="2646"/>
      <c r="D45" s="2646"/>
      <c r="E45" s="2646"/>
      <c r="F45" s="2646"/>
      <c r="G45" s="2229"/>
      <c r="H45" s="2229"/>
      <c r="I45" s="2229"/>
      <c r="J45" s="2232"/>
      <c r="K45" s="2232"/>
      <c r="M45" s="20"/>
    </row>
    <row r="46" spans="1:14" ht="15" customHeight="1" x14ac:dyDescent="0.2">
      <c r="A46" s="2646"/>
      <c r="B46" s="2646"/>
      <c r="C46" s="2646"/>
      <c r="D46" s="2646"/>
      <c r="E46" s="2646"/>
      <c r="F46" s="2646"/>
      <c r="G46" s="2229"/>
      <c r="H46" s="2229"/>
      <c r="I46" s="2643" t="s">
        <v>2457</v>
      </c>
      <c r="J46" s="2643"/>
      <c r="K46" s="2643"/>
      <c r="M46" s="20"/>
    </row>
    <row r="47" spans="1:14" ht="10.5" customHeight="1" x14ac:dyDescent="0.2">
      <c r="A47" s="2229"/>
      <c r="B47" s="2230"/>
      <c r="C47" s="2229"/>
      <c r="D47" s="2229"/>
      <c r="E47" s="2229"/>
      <c r="F47" s="2229"/>
      <c r="G47" s="2229"/>
      <c r="H47" s="2229"/>
      <c r="I47" s="2643"/>
      <c r="J47" s="2643"/>
      <c r="K47" s="2643"/>
      <c r="L47" s="1639"/>
      <c r="M47" s="1639"/>
      <c r="N47" s="1639"/>
    </row>
    <row r="48" spans="1:14" ht="18.75" customHeight="1" x14ac:dyDescent="0.2">
      <c r="A48" s="2679" t="s">
        <v>156</v>
      </c>
      <c r="B48" s="2679"/>
      <c r="C48" s="2679"/>
      <c r="D48" s="2679"/>
      <c r="E48" s="2679"/>
      <c r="F48" s="2679"/>
      <c r="G48" s="2229"/>
      <c r="H48" s="2229"/>
      <c r="I48" s="2643"/>
      <c r="J48" s="2643"/>
      <c r="K48" s="2643"/>
      <c r="M48" s="80"/>
      <c r="N48" s="81"/>
    </row>
    <row r="49" spans="1:13" ht="12.75" customHeight="1" x14ac:dyDescent="0.2">
      <c r="A49" s="2229"/>
      <c r="B49" s="2230"/>
      <c r="C49" s="2229"/>
      <c r="D49" s="2229"/>
      <c r="E49" s="2229"/>
      <c r="F49" s="2229"/>
      <c r="G49" s="2229"/>
      <c r="H49" s="2229"/>
      <c r="I49" s="2232"/>
      <c r="J49" s="2232"/>
      <c r="K49" s="2232"/>
    </row>
    <row r="51" spans="1:13" x14ac:dyDescent="0.2">
      <c r="I51" s="20"/>
      <c r="M51" s="20"/>
    </row>
    <row r="52" spans="1:13" x14ac:dyDescent="0.2">
      <c r="I52" s="20"/>
      <c r="M52" s="20"/>
    </row>
    <row r="53" spans="1:13" x14ac:dyDescent="0.2">
      <c r="I53" s="20"/>
      <c r="M53" s="20"/>
    </row>
    <row r="54" spans="1:13" x14ac:dyDescent="0.2">
      <c r="I54" s="20"/>
      <c r="M54" s="20"/>
    </row>
    <row r="55" spans="1:13" x14ac:dyDescent="0.2">
      <c r="I55" s="20"/>
      <c r="M55" s="20"/>
    </row>
  </sheetData>
  <mergeCells count="97">
    <mergeCell ref="K37:L38"/>
    <mergeCell ref="B37:B39"/>
    <mergeCell ref="I40:K43"/>
    <mergeCell ref="A42:F43"/>
    <mergeCell ref="A45:F46"/>
    <mergeCell ref="I46:K48"/>
    <mergeCell ref="A48:F48"/>
    <mergeCell ref="J39:L39"/>
    <mergeCell ref="F37:F39"/>
    <mergeCell ref="E37:E39"/>
    <mergeCell ref="D37:D39"/>
    <mergeCell ref="C36:C39"/>
    <mergeCell ref="A35:A39"/>
    <mergeCell ref="K32:K33"/>
    <mergeCell ref="L32:L33"/>
    <mergeCell ref="M32:M33"/>
    <mergeCell ref="N32:N33"/>
    <mergeCell ref="B33:B34"/>
    <mergeCell ref="C33:C34"/>
    <mergeCell ref="D33:D34"/>
    <mergeCell ref="E33:E34"/>
    <mergeCell ref="F33:F34"/>
    <mergeCell ref="I34:I35"/>
    <mergeCell ref="J32:J33"/>
    <mergeCell ref="K34:L34"/>
    <mergeCell ref="K35:L35"/>
    <mergeCell ref="I36:I38"/>
    <mergeCell ref="K36:L36"/>
    <mergeCell ref="A30:A31"/>
    <mergeCell ref="C30:C31"/>
    <mergeCell ref="I30:I31"/>
    <mergeCell ref="A32:A34"/>
    <mergeCell ref="I32:I33"/>
    <mergeCell ref="I20:I22"/>
    <mergeCell ref="K20:K21"/>
    <mergeCell ref="A21:A22"/>
    <mergeCell ref="C21:C22"/>
    <mergeCell ref="A23:A25"/>
    <mergeCell ref="B23:B24"/>
    <mergeCell ref="C23:C26"/>
    <mergeCell ref="D23:D24"/>
    <mergeCell ref="E23:E24"/>
    <mergeCell ref="I23:I26"/>
    <mergeCell ref="K23:K26"/>
    <mergeCell ref="F25:F26"/>
    <mergeCell ref="A26:A29"/>
    <mergeCell ref="C27:C29"/>
    <mergeCell ref="I27:I29"/>
    <mergeCell ref="K27:K28"/>
    <mergeCell ref="B13:C13"/>
    <mergeCell ref="J13:J14"/>
    <mergeCell ref="K13:K14"/>
    <mergeCell ref="L13:L14"/>
    <mergeCell ref="M13:M14"/>
    <mergeCell ref="L9:L12"/>
    <mergeCell ref="M9:M10"/>
    <mergeCell ref="N9:N10"/>
    <mergeCell ref="B10:C10"/>
    <mergeCell ref="B11:C11"/>
    <mergeCell ref="J11:J12"/>
    <mergeCell ref="M11:M12"/>
    <mergeCell ref="N11:N12"/>
    <mergeCell ref="B12:C12"/>
    <mergeCell ref="B9:C9"/>
    <mergeCell ref="D9:D13"/>
    <mergeCell ref="I9:I14"/>
    <mergeCell ref="J9:J10"/>
    <mergeCell ref="K9:K12"/>
    <mergeCell ref="N13:N14"/>
    <mergeCell ref="B14:C14"/>
    <mergeCell ref="A9:A19"/>
    <mergeCell ref="D16:D19"/>
    <mergeCell ref="J18:J19"/>
    <mergeCell ref="K17:K19"/>
    <mergeCell ref="A1:N4"/>
    <mergeCell ref="A5:N5"/>
    <mergeCell ref="A7:A8"/>
    <mergeCell ref="B7:B8"/>
    <mergeCell ref="C7:C8"/>
    <mergeCell ref="D7:D8"/>
    <mergeCell ref="E7:E8"/>
    <mergeCell ref="I7:I8"/>
    <mergeCell ref="J7:J8"/>
    <mergeCell ref="K7:K8"/>
    <mergeCell ref="L7:L8"/>
    <mergeCell ref="M7:M8"/>
    <mergeCell ref="L18:L19"/>
    <mergeCell ref="M18:M19"/>
    <mergeCell ref="N18:N19"/>
    <mergeCell ref="I15:I19"/>
    <mergeCell ref="B19:C19"/>
    <mergeCell ref="B17:C17"/>
    <mergeCell ref="B18:C18"/>
    <mergeCell ref="D14:D15"/>
    <mergeCell ref="B15:C15"/>
    <mergeCell ref="K15:K16"/>
    <mergeCell ref="B16:C16"/>
  </mergeCells>
  <printOptions horizontalCentered="1"/>
  <pageMargins left="0.11811023622047245" right="0" top="0" bottom="0" header="0" footer="0"/>
  <pageSetup paperSize="9" scale="40" orientation="landscape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56"/>
  <sheetViews>
    <sheetView topLeftCell="A25" zoomScale="60" zoomScaleNormal="60" zoomScaleSheetLayoutView="40" workbookViewId="0">
      <selection sqref="A1:C2"/>
    </sheetView>
  </sheetViews>
  <sheetFormatPr defaultRowHeight="12.75" x14ac:dyDescent="0.2"/>
  <cols>
    <col min="1" max="1" width="38.5703125" style="77" customWidth="1"/>
    <col min="2" max="2" width="53.28515625" style="959" customWidth="1"/>
    <col min="3" max="3" width="15" style="77" customWidth="1"/>
    <col min="4" max="4" width="20.28515625" style="77" customWidth="1"/>
    <col min="5" max="5" width="6.5703125" style="77" customWidth="1"/>
    <col min="6" max="6" width="15.140625" style="77" customWidth="1"/>
    <col min="7" max="7" width="2.42578125" style="77" customWidth="1"/>
    <col min="8" max="8" width="38.5703125" style="77" customWidth="1"/>
    <col min="9" max="9" width="53.28515625" style="77" customWidth="1"/>
    <col min="10" max="10" width="15.85546875" style="77" customWidth="1"/>
    <col min="11" max="11" width="23.42578125" style="77" customWidth="1"/>
    <col min="12" max="12" width="6.7109375" style="77" customWidth="1"/>
    <col min="13" max="13" width="13.28515625" style="77" customWidth="1"/>
    <col min="14" max="16384" width="9.140625" style="77"/>
  </cols>
  <sheetData>
    <row r="1" spans="1:13" ht="15" customHeight="1" x14ac:dyDescent="0.2">
      <c r="A1" s="2609"/>
      <c r="B1" s="2609"/>
      <c r="C1" s="2609"/>
      <c r="D1" s="2609"/>
      <c r="E1" s="2609"/>
      <c r="F1" s="2609"/>
      <c r="G1" s="2609"/>
      <c r="H1" s="2609"/>
      <c r="I1" s="2609"/>
      <c r="J1" s="2609"/>
      <c r="K1" s="2609"/>
      <c r="L1" s="2609"/>
      <c r="M1" s="2609"/>
    </row>
    <row r="2" spans="1:13" ht="15" customHeight="1" x14ac:dyDescent="0.2">
      <c r="A2" s="2609"/>
      <c r="B2" s="2609"/>
      <c r="C2" s="2609"/>
      <c r="D2" s="2609"/>
      <c r="E2" s="2609"/>
      <c r="F2" s="2609"/>
      <c r="G2" s="2609"/>
      <c r="H2" s="2609"/>
      <c r="I2" s="2609"/>
      <c r="J2" s="2609"/>
      <c r="K2" s="2609"/>
      <c r="L2" s="2609"/>
      <c r="M2" s="2609"/>
    </row>
    <row r="3" spans="1:13" ht="15" customHeight="1" x14ac:dyDescent="0.2">
      <c r="A3" s="2609"/>
      <c r="B3" s="2609"/>
      <c r="C3" s="2609"/>
      <c r="D3" s="2609"/>
      <c r="E3" s="2609"/>
      <c r="F3" s="2609"/>
      <c r="G3" s="2609"/>
      <c r="H3" s="2609"/>
      <c r="I3" s="2609"/>
      <c r="J3" s="2609"/>
      <c r="K3" s="2609"/>
      <c r="L3" s="2609"/>
      <c r="M3" s="2609"/>
    </row>
    <row r="4" spans="1:13" ht="70.5" customHeight="1" thickBot="1" x14ac:dyDescent="0.25">
      <c r="A4" s="2610"/>
      <c r="B4" s="2610"/>
      <c r="C4" s="2610"/>
      <c r="D4" s="2610"/>
      <c r="E4" s="2610"/>
      <c r="F4" s="2610"/>
      <c r="G4" s="2610"/>
      <c r="H4" s="2610"/>
      <c r="I4" s="2610"/>
      <c r="J4" s="2610"/>
      <c r="K4" s="2610"/>
      <c r="L4" s="2610"/>
      <c r="M4" s="2610"/>
    </row>
    <row r="5" spans="1:13" ht="27.75" customHeight="1" thickTop="1" x14ac:dyDescent="0.35">
      <c r="A5" s="2704" t="s">
        <v>2070</v>
      </c>
      <c r="B5" s="2704"/>
      <c r="C5" s="2704"/>
      <c r="D5" s="2704"/>
      <c r="E5" s="2704"/>
      <c r="F5" s="2704"/>
      <c r="G5" s="2704"/>
      <c r="H5" s="2704"/>
      <c r="I5" s="2704"/>
      <c r="J5" s="2704"/>
      <c r="K5" s="2704"/>
      <c r="L5" s="2704"/>
      <c r="M5" s="2704"/>
    </row>
    <row r="6" spans="1:13" ht="18" x14ac:dyDescent="0.2">
      <c r="A6" s="78"/>
      <c r="B6" s="79"/>
      <c r="C6" s="79"/>
      <c r="D6" s="79"/>
      <c r="E6" s="79"/>
      <c r="F6" s="79"/>
      <c r="H6" s="78"/>
      <c r="I6" s="79"/>
      <c r="J6" s="79"/>
      <c r="K6" s="1865"/>
      <c r="L6" s="1865"/>
      <c r="M6" s="1866" t="s">
        <v>2872</v>
      </c>
    </row>
    <row r="7" spans="1:13" ht="24" customHeight="1" x14ac:dyDescent="0.2">
      <c r="A7" s="2705" t="s">
        <v>285</v>
      </c>
      <c r="B7" s="2705" t="s">
        <v>2873</v>
      </c>
      <c r="C7" s="2707" t="s">
        <v>102</v>
      </c>
      <c r="D7" s="2707" t="s">
        <v>103</v>
      </c>
      <c r="E7" s="2707" t="s">
        <v>104</v>
      </c>
      <c r="F7" s="2707" t="s">
        <v>2874</v>
      </c>
      <c r="H7" s="2705" t="s">
        <v>285</v>
      </c>
      <c r="I7" s="2705" t="s">
        <v>2873</v>
      </c>
      <c r="J7" s="2707" t="s">
        <v>102</v>
      </c>
      <c r="K7" s="2707" t="s">
        <v>103</v>
      </c>
      <c r="L7" s="2707" t="s">
        <v>104</v>
      </c>
      <c r="M7" s="2707" t="s">
        <v>2874</v>
      </c>
    </row>
    <row r="8" spans="1:13" ht="30.75" customHeight="1" x14ac:dyDescent="0.2">
      <c r="A8" s="2706"/>
      <c r="B8" s="2706"/>
      <c r="C8" s="2708"/>
      <c r="D8" s="2708"/>
      <c r="E8" s="2708"/>
      <c r="F8" s="2709"/>
      <c r="H8" s="2706"/>
      <c r="I8" s="2706"/>
      <c r="J8" s="2708"/>
      <c r="K8" s="2708"/>
      <c r="L8" s="2708"/>
      <c r="M8" s="2709"/>
    </row>
    <row r="9" spans="1:13" ht="42" customHeight="1" x14ac:dyDescent="0.2">
      <c r="A9" s="2630"/>
      <c r="B9" s="2631" t="s">
        <v>2875</v>
      </c>
      <c r="C9" s="2631"/>
      <c r="D9" s="2638" t="s">
        <v>2876</v>
      </c>
      <c r="E9" s="2687" t="s">
        <v>107</v>
      </c>
      <c r="F9" s="2688">
        <v>633.76</v>
      </c>
      <c r="H9" s="2630"/>
      <c r="I9" s="2631" t="s">
        <v>2091</v>
      </c>
      <c r="J9" s="2638" t="s">
        <v>118</v>
      </c>
      <c r="K9" s="2631" t="s">
        <v>2092</v>
      </c>
      <c r="L9" s="2687" t="s">
        <v>107</v>
      </c>
      <c r="M9" s="2688">
        <v>4037.52</v>
      </c>
    </row>
    <row r="10" spans="1:13" ht="41.25" customHeight="1" x14ac:dyDescent="0.2">
      <c r="A10" s="2630"/>
      <c r="B10" s="2631"/>
      <c r="C10" s="2631"/>
      <c r="D10" s="2638"/>
      <c r="E10" s="2687"/>
      <c r="F10" s="2688"/>
      <c r="H10" s="2630"/>
      <c r="I10" s="2631"/>
      <c r="J10" s="2638"/>
      <c r="K10" s="2631"/>
      <c r="L10" s="2687"/>
      <c r="M10" s="2688"/>
    </row>
    <row r="11" spans="1:13" ht="45" customHeight="1" x14ac:dyDescent="0.2">
      <c r="A11" s="2630"/>
      <c r="B11" s="2631" t="s">
        <v>2877</v>
      </c>
      <c r="C11" s="2631"/>
      <c r="D11" s="2638" t="s">
        <v>2878</v>
      </c>
      <c r="E11" s="2687" t="s">
        <v>107</v>
      </c>
      <c r="F11" s="2688">
        <v>662.24</v>
      </c>
      <c r="H11" s="2630"/>
      <c r="I11" s="2631" t="s">
        <v>2093</v>
      </c>
      <c r="J11" s="2638" t="s">
        <v>124</v>
      </c>
      <c r="K11" s="2631" t="s">
        <v>2092</v>
      </c>
      <c r="L11" s="2687" t="s">
        <v>107</v>
      </c>
      <c r="M11" s="2688">
        <v>4037.52</v>
      </c>
    </row>
    <row r="12" spans="1:13" ht="37.5" customHeight="1" x14ac:dyDescent="0.2">
      <c r="A12" s="2630"/>
      <c r="B12" s="2631"/>
      <c r="C12" s="2631"/>
      <c r="D12" s="2638"/>
      <c r="E12" s="2687"/>
      <c r="F12" s="2688"/>
      <c r="H12" s="2630"/>
      <c r="I12" s="2631"/>
      <c r="J12" s="2638"/>
      <c r="K12" s="2631"/>
      <c r="L12" s="2687"/>
      <c r="M12" s="2688"/>
    </row>
    <row r="13" spans="1:13" ht="27" customHeight="1" x14ac:dyDescent="0.2">
      <c r="A13" s="2630"/>
      <c r="B13" s="2631" t="s">
        <v>2071</v>
      </c>
      <c r="C13" s="2638" t="s">
        <v>120</v>
      </c>
      <c r="D13" s="1864" t="s">
        <v>2072</v>
      </c>
      <c r="E13" s="1867" t="s">
        <v>107</v>
      </c>
      <c r="F13" s="2049">
        <v>710.3</v>
      </c>
      <c r="H13" s="2630"/>
      <c r="I13" s="2631" t="s">
        <v>2094</v>
      </c>
      <c r="J13" s="2638" t="s">
        <v>120</v>
      </c>
      <c r="K13" s="2631" t="s">
        <v>2095</v>
      </c>
      <c r="L13" s="2687" t="s">
        <v>107</v>
      </c>
      <c r="M13" s="2688">
        <v>185</v>
      </c>
    </row>
    <row r="14" spans="1:13" ht="24.75" customHeight="1" x14ac:dyDescent="0.2">
      <c r="A14" s="2630"/>
      <c r="B14" s="2631"/>
      <c r="C14" s="2638"/>
      <c r="D14" s="1864" t="s">
        <v>2073</v>
      </c>
      <c r="E14" s="1867" t="s">
        <v>107</v>
      </c>
      <c r="F14" s="2049">
        <v>949.57</v>
      </c>
      <c r="H14" s="2630"/>
      <c r="I14" s="2631"/>
      <c r="J14" s="2638"/>
      <c r="K14" s="2631"/>
      <c r="L14" s="2687"/>
      <c r="M14" s="2688"/>
    </row>
    <row r="15" spans="1:13" ht="24" customHeight="1" x14ac:dyDescent="0.2">
      <c r="A15" s="2630"/>
      <c r="B15" s="1864" t="s">
        <v>171</v>
      </c>
      <c r="C15" s="2638" t="s">
        <v>120</v>
      </c>
      <c r="D15" s="1864" t="s">
        <v>2074</v>
      </c>
      <c r="E15" s="1867" t="s">
        <v>107</v>
      </c>
      <c r="F15" s="2049">
        <v>523.38</v>
      </c>
      <c r="H15" s="2630"/>
      <c r="I15" s="2621" t="s">
        <v>2096</v>
      </c>
      <c r="J15" s="2638"/>
      <c r="K15" s="2631" t="s">
        <v>2879</v>
      </c>
      <c r="L15" s="2687" t="s">
        <v>107</v>
      </c>
      <c r="M15" s="2688">
        <v>3232.32</v>
      </c>
    </row>
    <row r="16" spans="1:13" ht="27" customHeight="1" x14ac:dyDescent="0.2">
      <c r="A16" s="2630"/>
      <c r="B16" s="1864" t="s">
        <v>2075</v>
      </c>
      <c r="C16" s="2638"/>
      <c r="D16" s="1864" t="s">
        <v>2076</v>
      </c>
      <c r="E16" s="1867" t="s">
        <v>107</v>
      </c>
      <c r="F16" s="2049">
        <v>306.55</v>
      </c>
      <c r="H16" s="2630"/>
      <c r="I16" s="2623"/>
      <c r="J16" s="2638"/>
      <c r="K16" s="2631"/>
      <c r="L16" s="2687"/>
      <c r="M16" s="2688"/>
    </row>
    <row r="17" spans="1:13" ht="19.5" customHeight="1" x14ac:dyDescent="0.2">
      <c r="A17" s="2630"/>
      <c r="B17" s="957" t="s">
        <v>2077</v>
      </c>
      <c r="C17" s="2638"/>
      <c r="D17" s="1864" t="s">
        <v>2078</v>
      </c>
      <c r="E17" s="1867" t="s">
        <v>107</v>
      </c>
      <c r="F17" s="2049">
        <v>707.31</v>
      </c>
      <c r="H17" s="2618"/>
      <c r="I17" s="2621" t="s">
        <v>2098</v>
      </c>
      <c r="J17" s="2638" t="s">
        <v>120</v>
      </c>
      <c r="K17" s="2631" t="s">
        <v>2099</v>
      </c>
      <c r="L17" s="2687" t="s">
        <v>2100</v>
      </c>
      <c r="M17" s="2703" t="s">
        <v>2880</v>
      </c>
    </row>
    <row r="18" spans="1:13" ht="43.5" customHeight="1" x14ac:dyDescent="0.2">
      <c r="A18" s="2630"/>
      <c r="B18" s="1864" t="s">
        <v>2079</v>
      </c>
      <c r="C18" s="2638" t="s">
        <v>120</v>
      </c>
      <c r="D18" s="1864" t="s">
        <v>2078</v>
      </c>
      <c r="E18" s="1867" t="s">
        <v>107</v>
      </c>
      <c r="F18" s="2049">
        <v>1027.33</v>
      </c>
      <c r="H18" s="2619"/>
      <c r="I18" s="2623"/>
      <c r="J18" s="2638"/>
      <c r="K18" s="2631"/>
      <c r="L18" s="2687"/>
      <c r="M18" s="2703"/>
    </row>
    <row r="19" spans="1:13" ht="48.75" customHeight="1" x14ac:dyDescent="0.2">
      <c r="A19" s="2630"/>
      <c r="B19" s="957" t="s">
        <v>2080</v>
      </c>
      <c r="C19" s="2638"/>
      <c r="D19" s="1864" t="s">
        <v>2078</v>
      </c>
      <c r="E19" s="1867" t="s">
        <v>107</v>
      </c>
      <c r="F19" s="2049">
        <v>942.09</v>
      </c>
      <c r="H19" s="2620"/>
      <c r="I19" s="1864" t="s">
        <v>2881</v>
      </c>
      <c r="J19" s="2638"/>
      <c r="K19" s="1864" t="s">
        <v>2078</v>
      </c>
      <c r="L19" s="1867" t="s">
        <v>107</v>
      </c>
      <c r="M19" s="2049">
        <v>1767.36</v>
      </c>
    </row>
    <row r="20" spans="1:13" ht="48" customHeight="1" x14ac:dyDescent="0.2">
      <c r="A20" s="956"/>
      <c r="B20" s="1864" t="s">
        <v>2097</v>
      </c>
      <c r="C20" s="2638"/>
      <c r="D20" s="1864"/>
      <c r="E20" s="1867" t="s">
        <v>107</v>
      </c>
      <c r="F20" s="2049">
        <v>47.04</v>
      </c>
      <c r="H20" s="2630"/>
      <c r="I20" s="1864" t="s">
        <v>2882</v>
      </c>
      <c r="J20" s="1868" t="s">
        <v>118</v>
      </c>
      <c r="K20" s="1864" t="s">
        <v>2193</v>
      </c>
      <c r="L20" s="1867" t="s">
        <v>107</v>
      </c>
      <c r="M20" s="2049">
        <v>6672.96</v>
      </c>
    </row>
    <row r="21" spans="1:13" ht="39" customHeight="1" x14ac:dyDescent="0.2">
      <c r="A21" s="2630"/>
      <c r="B21" s="1864" t="s">
        <v>2081</v>
      </c>
      <c r="C21" s="2696" t="s">
        <v>120</v>
      </c>
      <c r="D21" s="2621" t="s">
        <v>2078</v>
      </c>
      <c r="E21" s="1867" t="s">
        <v>107</v>
      </c>
      <c r="F21" s="2049">
        <v>747.69</v>
      </c>
      <c r="H21" s="2630"/>
      <c r="I21" s="1864" t="s">
        <v>2883</v>
      </c>
      <c r="J21" s="1868" t="s">
        <v>124</v>
      </c>
      <c r="K21" s="1864" t="s">
        <v>2194</v>
      </c>
      <c r="L21" s="1867" t="s">
        <v>107</v>
      </c>
      <c r="M21" s="2049">
        <v>9497.6</v>
      </c>
    </row>
    <row r="22" spans="1:13" ht="27.75" customHeight="1" x14ac:dyDescent="0.2">
      <c r="A22" s="2630"/>
      <c r="B22" s="1864" t="s">
        <v>2082</v>
      </c>
      <c r="C22" s="2702"/>
      <c r="D22" s="2623"/>
      <c r="E22" s="1867" t="s">
        <v>107</v>
      </c>
      <c r="F22" s="2049">
        <v>747.69</v>
      </c>
      <c r="H22" s="2630"/>
      <c r="I22" s="2631" t="s">
        <v>2884</v>
      </c>
      <c r="J22" s="2638" t="s">
        <v>120</v>
      </c>
      <c r="K22" s="2631" t="s">
        <v>2099</v>
      </c>
      <c r="L22" s="2687" t="s">
        <v>107</v>
      </c>
      <c r="M22" s="2688">
        <v>3572.8</v>
      </c>
    </row>
    <row r="23" spans="1:13" ht="27.75" customHeight="1" x14ac:dyDescent="0.2">
      <c r="A23" s="2630"/>
      <c r="B23" s="957" t="s">
        <v>2083</v>
      </c>
      <c r="C23" s="2697"/>
      <c r="D23" s="1864" t="s">
        <v>2078</v>
      </c>
      <c r="E23" s="1867" t="s">
        <v>107</v>
      </c>
      <c r="F23" s="2049">
        <v>725.26</v>
      </c>
      <c r="H23" s="2630"/>
      <c r="I23" s="2631"/>
      <c r="J23" s="2638"/>
      <c r="K23" s="2631"/>
      <c r="L23" s="2687"/>
      <c r="M23" s="2688"/>
    </row>
    <row r="24" spans="1:13" ht="28.5" customHeight="1" x14ac:dyDescent="0.2">
      <c r="A24" s="2630"/>
      <c r="B24" s="1864" t="s">
        <v>2084</v>
      </c>
      <c r="C24" s="2696" t="s">
        <v>120</v>
      </c>
      <c r="D24" s="1864" t="s">
        <v>2078</v>
      </c>
      <c r="E24" s="1867" t="s">
        <v>107</v>
      </c>
      <c r="F24" s="2049">
        <v>725.26</v>
      </c>
      <c r="H24" s="2630"/>
      <c r="I24" s="957" t="s">
        <v>2195</v>
      </c>
      <c r="J24" s="2638"/>
      <c r="K24" s="957" t="s">
        <v>2196</v>
      </c>
      <c r="L24" s="1869" t="s">
        <v>107</v>
      </c>
      <c r="M24" s="2049">
        <v>112</v>
      </c>
    </row>
    <row r="25" spans="1:13" ht="27.75" customHeight="1" x14ac:dyDescent="0.2">
      <c r="A25" s="2630"/>
      <c r="B25" s="1864" t="s">
        <v>151</v>
      </c>
      <c r="C25" s="2702"/>
      <c r="D25" s="1864" t="s">
        <v>2078</v>
      </c>
      <c r="E25" s="1867" t="s">
        <v>107</v>
      </c>
      <c r="F25" s="2049">
        <v>747.69</v>
      </c>
      <c r="H25" s="2630"/>
      <c r="I25" s="2631" t="s">
        <v>2885</v>
      </c>
      <c r="J25" s="2638"/>
      <c r="K25" s="2631" t="s">
        <v>2197</v>
      </c>
      <c r="L25" s="2687" t="s">
        <v>107</v>
      </c>
      <c r="M25" s="2688">
        <v>472.64</v>
      </c>
    </row>
    <row r="26" spans="1:13" ht="27" customHeight="1" x14ac:dyDescent="0.2">
      <c r="A26" s="2630"/>
      <c r="B26" s="1864" t="s">
        <v>153</v>
      </c>
      <c r="C26" s="2697"/>
      <c r="D26" s="1864" t="s">
        <v>2078</v>
      </c>
      <c r="E26" s="1867" t="s">
        <v>107</v>
      </c>
      <c r="F26" s="2049">
        <v>747.69</v>
      </c>
      <c r="H26" s="2630"/>
      <c r="I26" s="2631"/>
      <c r="J26" s="2638"/>
      <c r="K26" s="2631"/>
      <c r="L26" s="2687"/>
      <c r="M26" s="2688"/>
    </row>
    <row r="27" spans="1:13" ht="69.75" customHeight="1" x14ac:dyDescent="0.2">
      <c r="A27" s="2618"/>
      <c r="B27" s="957" t="s">
        <v>2886</v>
      </c>
      <c r="C27" s="1868" t="s">
        <v>124</v>
      </c>
      <c r="D27" s="1864" t="s">
        <v>2086</v>
      </c>
      <c r="E27" s="1867" t="s">
        <v>133</v>
      </c>
      <c r="F27" s="2049">
        <v>6479.97</v>
      </c>
      <c r="H27" s="2618"/>
      <c r="I27" s="1863" t="s">
        <v>535</v>
      </c>
      <c r="J27" s="2691" t="s">
        <v>2447</v>
      </c>
      <c r="K27" s="2692"/>
      <c r="L27" s="1870" t="s">
        <v>107</v>
      </c>
      <c r="M27" s="2057">
        <v>8470</v>
      </c>
    </row>
    <row r="28" spans="1:13" ht="36" x14ac:dyDescent="0.2">
      <c r="A28" s="2619"/>
      <c r="B28" s="1864" t="s">
        <v>2887</v>
      </c>
      <c r="C28" s="2696" t="s">
        <v>118</v>
      </c>
      <c r="D28" s="1864" t="s">
        <v>2085</v>
      </c>
      <c r="E28" s="1867" t="s">
        <v>133</v>
      </c>
      <c r="F28" s="2049">
        <v>1782.04</v>
      </c>
      <c r="H28" s="2619"/>
      <c r="I28" s="2621" t="s">
        <v>2448</v>
      </c>
      <c r="J28" s="2689" t="s">
        <v>2449</v>
      </c>
      <c r="K28" s="2690"/>
      <c r="L28" s="2698" t="s">
        <v>107</v>
      </c>
      <c r="M28" s="2700">
        <v>12460</v>
      </c>
    </row>
    <row r="29" spans="1:13" ht="37.5" customHeight="1" x14ac:dyDescent="0.2">
      <c r="A29" s="2620"/>
      <c r="B29" s="1882" t="s">
        <v>2888</v>
      </c>
      <c r="C29" s="2697"/>
      <c r="D29" s="1864" t="s">
        <v>2085</v>
      </c>
      <c r="E29" s="1867" t="s">
        <v>133</v>
      </c>
      <c r="F29" s="2049">
        <v>1650</v>
      </c>
      <c r="H29" s="2620"/>
      <c r="I29" s="2623"/>
      <c r="J29" s="2691"/>
      <c r="K29" s="2692"/>
      <c r="L29" s="2699"/>
      <c r="M29" s="2701"/>
    </row>
    <row r="30" spans="1:13" ht="38.25" customHeight="1" x14ac:dyDescent="0.2">
      <c r="A30" s="2630"/>
      <c r="B30" s="957" t="s">
        <v>2087</v>
      </c>
      <c r="C30" s="2638" t="s">
        <v>120</v>
      </c>
      <c r="D30" s="957" t="s">
        <v>2088</v>
      </c>
      <c r="E30" s="1867" t="s">
        <v>107</v>
      </c>
      <c r="F30" s="2049">
        <v>448.61</v>
      </c>
      <c r="H30" s="2618"/>
      <c r="I30" s="1864" t="s">
        <v>2450</v>
      </c>
      <c r="J30" s="2685" t="s">
        <v>2451</v>
      </c>
      <c r="K30" s="2686"/>
      <c r="L30" s="1867" t="s">
        <v>107</v>
      </c>
      <c r="M30" s="2058">
        <v>4760</v>
      </c>
    </row>
    <row r="31" spans="1:13" ht="38.25" customHeight="1" x14ac:dyDescent="0.2">
      <c r="A31" s="2630"/>
      <c r="B31" s="2631" t="s">
        <v>2089</v>
      </c>
      <c r="C31" s="2638"/>
      <c r="D31" s="2631" t="s">
        <v>2090</v>
      </c>
      <c r="E31" s="2687" t="s">
        <v>107</v>
      </c>
      <c r="F31" s="2688">
        <v>328.98</v>
      </c>
      <c r="H31" s="2619"/>
      <c r="I31" s="1864" t="s">
        <v>2452</v>
      </c>
      <c r="J31" s="2689" t="s">
        <v>2889</v>
      </c>
      <c r="K31" s="2690"/>
      <c r="L31" s="1867" t="s">
        <v>107</v>
      </c>
      <c r="M31" s="2058">
        <v>2800</v>
      </c>
    </row>
    <row r="32" spans="1:13" ht="29.25" customHeight="1" x14ac:dyDescent="0.2">
      <c r="A32" s="2630"/>
      <c r="B32" s="2631"/>
      <c r="C32" s="2638"/>
      <c r="D32" s="2631"/>
      <c r="E32" s="2687"/>
      <c r="F32" s="2688"/>
      <c r="H32" s="2620"/>
      <c r="I32" s="1864" t="s">
        <v>2454</v>
      </c>
      <c r="J32" s="2691"/>
      <c r="K32" s="2692"/>
      <c r="L32" s="1867" t="s">
        <v>107</v>
      </c>
      <c r="M32" s="2058">
        <v>2800</v>
      </c>
    </row>
    <row r="33" spans="1:13" x14ac:dyDescent="0.2">
      <c r="H33" s="20"/>
      <c r="L33" s="20"/>
    </row>
    <row r="34" spans="1:13" ht="15" customHeight="1" x14ac:dyDescent="0.25">
      <c r="A34" s="2684" t="s">
        <v>2890</v>
      </c>
      <c r="B34" s="2684"/>
      <c r="C34" s="2684"/>
      <c r="D34" s="2684"/>
      <c r="E34" s="2684"/>
      <c r="F34" s="2684"/>
      <c r="G34" s="1871"/>
      <c r="H34" s="2693" t="s">
        <v>2891</v>
      </c>
      <c r="I34" s="2693"/>
      <c r="J34" s="2693"/>
      <c r="K34" s="2693"/>
      <c r="L34" s="2693"/>
      <c r="M34" s="2693"/>
    </row>
    <row r="35" spans="1:13" ht="18.75" customHeight="1" x14ac:dyDescent="0.25">
      <c r="A35" s="2684"/>
      <c r="B35" s="2684"/>
      <c r="C35" s="2684"/>
      <c r="D35" s="2684"/>
      <c r="E35" s="2684"/>
      <c r="F35" s="2684"/>
      <c r="G35" s="1871"/>
      <c r="H35" s="2693"/>
      <c r="I35" s="2693"/>
      <c r="J35" s="2693"/>
      <c r="K35" s="2693"/>
      <c r="L35" s="2693"/>
      <c r="M35" s="2693"/>
    </row>
    <row r="36" spans="1:13" ht="18" x14ac:dyDescent="0.25">
      <c r="A36" s="2684" t="s">
        <v>2892</v>
      </c>
      <c r="B36" s="2684"/>
      <c r="C36" s="2684"/>
      <c r="D36" s="2684"/>
      <c r="E36" s="2684"/>
      <c r="F36" s="2684"/>
      <c r="G36" s="1871"/>
      <c r="H36" s="2693"/>
      <c r="I36" s="2693"/>
      <c r="J36" s="2693"/>
      <c r="K36" s="2693"/>
      <c r="L36" s="2693"/>
      <c r="M36" s="2693"/>
    </row>
    <row r="37" spans="1:13" ht="18" x14ac:dyDescent="0.25">
      <c r="A37" s="2684"/>
      <c r="B37" s="2684"/>
      <c r="C37" s="2684"/>
      <c r="D37" s="2684"/>
      <c r="E37" s="2684"/>
      <c r="F37" s="2684"/>
      <c r="G37" s="1871"/>
      <c r="H37" s="2694" t="s">
        <v>2893</v>
      </c>
      <c r="I37" s="2694"/>
      <c r="J37" s="2694"/>
      <c r="K37" s="1871"/>
      <c r="L37" s="1872"/>
      <c r="M37" s="1871"/>
    </row>
    <row r="38" spans="1:13" ht="18" x14ac:dyDescent="0.25">
      <c r="A38" s="2684"/>
      <c r="B38" s="2684"/>
      <c r="C38" s="2684"/>
      <c r="D38" s="2684"/>
      <c r="E38" s="2684"/>
      <c r="F38" s="2684"/>
      <c r="G38" s="1871"/>
      <c r="H38" s="1871"/>
      <c r="I38" s="1871"/>
      <c r="J38" s="1871"/>
      <c r="K38" s="1871"/>
      <c r="L38" s="1872"/>
      <c r="M38" s="1871"/>
    </row>
    <row r="39" spans="1:13" ht="18" x14ac:dyDescent="0.25">
      <c r="A39" s="2684"/>
      <c r="B39" s="2684"/>
      <c r="C39" s="2684"/>
      <c r="D39" s="2684"/>
      <c r="E39" s="2684"/>
      <c r="F39" s="2684"/>
      <c r="G39" s="1871"/>
      <c r="H39" s="2695" t="s">
        <v>156</v>
      </c>
      <c r="I39" s="2695"/>
      <c r="J39" s="2695"/>
      <c r="K39" s="2695"/>
      <c r="L39" s="2695"/>
      <c r="M39" s="2695"/>
    </row>
    <row r="41" spans="1:13" ht="14.25" x14ac:dyDescent="0.2">
      <c r="B41" s="1873"/>
      <c r="C41" s="1873"/>
      <c r="D41" s="1873"/>
      <c r="E41" s="1873"/>
      <c r="F41" s="1873"/>
      <c r="H41" s="1873"/>
      <c r="I41" s="1873"/>
      <c r="J41" s="1873"/>
      <c r="L41" s="80"/>
      <c r="M41" s="81"/>
    </row>
    <row r="42" spans="1:13" ht="12.75" customHeight="1" x14ac:dyDescent="0.2">
      <c r="H42" s="1638"/>
      <c r="I42" s="1638"/>
      <c r="J42" s="1638"/>
    </row>
    <row r="44" spans="1:13" x14ac:dyDescent="0.2">
      <c r="H44" s="20"/>
      <c r="L44" s="20"/>
    </row>
    <row r="45" spans="1:13" x14ac:dyDescent="0.2">
      <c r="H45" s="20"/>
      <c r="L45" s="20"/>
    </row>
    <row r="46" spans="1:13" ht="23.25" x14ac:dyDescent="0.35">
      <c r="A46" s="1874"/>
      <c r="B46" s="1875"/>
      <c r="C46" s="1874"/>
      <c r="D46" s="1874"/>
      <c r="H46" s="20"/>
      <c r="L46" s="20"/>
    </row>
    <row r="47" spans="1:13" ht="23.25" x14ac:dyDescent="0.35">
      <c r="A47" s="1874"/>
      <c r="B47" s="1875"/>
      <c r="C47" s="1874"/>
      <c r="D47" s="1874"/>
      <c r="H47" s="20"/>
      <c r="L47" s="20"/>
    </row>
    <row r="48" spans="1:13" ht="23.25" x14ac:dyDescent="0.2">
      <c r="A48" s="2680" t="s">
        <v>66</v>
      </c>
      <c r="B48" s="1876" t="s">
        <v>157</v>
      </c>
      <c r="C48" s="2682" t="s">
        <v>2894</v>
      </c>
      <c r="D48" s="2682"/>
      <c r="H48" s="20"/>
      <c r="L48" s="20"/>
    </row>
    <row r="49" spans="1:12" ht="23.25" x14ac:dyDescent="0.2">
      <c r="A49" s="2681"/>
      <c r="B49" s="1877">
        <v>0</v>
      </c>
      <c r="C49" s="2683">
        <v>0</v>
      </c>
      <c r="D49" s="2683"/>
      <c r="H49" s="20"/>
      <c r="L49" s="20"/>
    </row>
    <row r="50" spans="1:12" ht="23.25" x14ac:dyDescent="0.35">
      <c r="A50" s="1874"/>
      <c r="B50" s="1875"/>
      <c r="C50" s="1874"/>
      <c r="D50" s="1874"/>
      <c r="H50" s="20"/>
      <c r="L50" s="20"/>
    </row>
    <row r="51" spans="1:12" ht="23.25" x14ac:dyDescent="0.35">
      <c r="A51" s="1874"/>
      <c r="B51" s="1875"/>
      <c r="C51" s="1874"/>
      <c r="D51" s="1874"/>
      <c r="H51" s="20"/>
      <c r="L51" s="20"/>
    </row>
    <row r="52" spans="1:12" ht="23.25" x14ac:dyDescent="0.35">
      <c r="A52" s="1874"/>
      <c r="B52" s="1875"/>
      <c r="C52" s="1874"/>
      <c r="D52" s="1874"/>
      <c r="H52" s="20"/>
      <c r="L52" s="20"/>
    </row>
    <row r="53" spans="1:12" ht="23.25" x14ac:dyDescent="0.35">
      <c r="A53" s="1874"/>
      <c r="B53" s="1875"/>
      <c r="C53" s="1874"/>
      <c r="D53" s="1874"/>
      <c r="H53" s="20"/>
      <c r="L53" s="20"/>
    </row>
    <row r="54" spans="1:12" ht="23.25" x14ac:dyDescent="0.35">
      <c r="A54" s="1874"/>
      <c r="B54" s="1875"/>
      <c r="C54" s="1874"/>
      <c r="D54" s="1874"/>
      <c r="H54" s="20"/>
      <c r="L54" s="20"/>
    </row>
    <row r="55" spans="1:12" ht="23.25" x14ac:dyDescent="0.35">
      <c r="A55" s="1874"/>
      <c r="B55" s="1875"/>
      <c r="C55" s="1874"/>
      <c r="D55" s="1874"/>
    </row>
    <row r="56" spans="1:12" ht="23.25" x14ac:dyDescent="0.35">
      <c r="A56" s="1874"/>
      <c r="B56" s="1875"/>
      <c r="C56" s="1874"/>
      <c r="D56" s="1874"/>
    </row>
  </sheetData>
  <mergeCells count="99">
    <mergeCell ref="A1:M4"/>
    <mergeCell ref="A5:M5"/>
    <mergeCell ref="A7:A8"/>
    <mergeCell ref="B7:B8"/>
    <mergeCell ref="C7:C8"/>
    <mergeCell ref="D7:D8"/>
    <mergeCell ref="E7:E8"/>
    <mergeCell ref="F7:F8"/>
    <mergeCell ref="H7:H8"/>
    <mergeCell ref="I7:I8"/>
    <mergeCell ref="J7:J8"/>
    <mergeCell ref="K7:K8"/>
    <mergeCell ref="L7:L8"/>
    <mergeCell ref="M7:M8"/>
    <mergeCell ref="H9:H10"/>
    <mergeCell ref="A11:A12"/>
    <mergeCell ref="B11:C12"/>
    <mergeCell ref="D11:D12"/>
    <mergeCell ref="E11:E12"/>
    <mergeCell ref="F11:F12"/>
    <mergeCell ref="H11:H12"/>
    <mergeCell ref="A9:A10"/>
    <mergeCell ref="B9:C10"/>
    <mergeCell ref="D9:D10"/>
    <mergeCell ref="E9:E10"/>
    <mergeCell ref="F9:F10"/>
    <mergeCell ref="M11:M12"/>
    <mergeCell ref="I9:I10"/>
    <mergeCell ref="J9:J10"/>
    <mergeCell ref="K9:K10"/>
    <mergeCell ref="L9:L10"/>
    <mergeCell ref="M9:M10"/>
    <mergeCell ref="I11:I12"/>
    <mergeCell ref="J11:J12"/>
    <mergeCell ref="K11:K12"/>
    <mergeCell ref="L11:L12"/>
    <mergeCell ref="H17:H19"/>
    <mergeCell ref="I17:I18"/>
    <mergeCell ref="K17:K18"/>
    <mergeCell ref="C13:C14"/>
    <mergeCell ref="H13:H16"/>
    <mergeCell ref="I13:I14"/>
    <mergeCell ref="J13:J16"/>
    <mergeCell ref="J17:J19"/>
    <mergeCell ref="C15:C17"/>
    <mergeCell ref="I15:I16"/>
    <mergeCell ref="L22:L23"/>
    <mergeCell ref="M22:M23"/>
    <mergeCell ref="K13:K14"/>
    <mergeCell ref="L13:L14"/>
    <mergeCell ref="M13:M14"/>
    <mergeCell ref="K15:K16"/>
    <mergeCell ref="L15:L16"/>
    <mergeCell ref="M15:M16"/>
    <mergeCell ref="A24:A26"/>
    <mergeCell ref="C24:C26"/>
    <mergeCell ref="L17:L18"/>
    <mergeCell ref="M17:M18"/>
    <mergeCell ref="A18:A19"/>
    <mergeCell ref="C18:C20"/>
    <mergeCell ref="H20:H21"/>
    <mergeCell ref="A21:A23"/>
    <mergeCell ref="C21:C23"/>
    <mergeCell ref="D21:D22"/>
    <mergeCell ref="H22:H26"/>
    <mergeCell ref="A13:A17"/>
    <mergeCell ref="B13:B14"/>
    <mergeCell ref="I22:I23"/>
    <mergeCell ref="J22:J26"/>
    <mergeCell ref="K22:K23"/>
    <mergeCell ref="H34:M36"/>
    <mergeCell ref="A36:F39"/>
    <mergeCell ref="H37:J37"/>
    <mergeCell ref="H39:M39"/>
    <mergeCell ref="I25:I26"/>
    <mergeCell ref="K25:K26"/>
    <mergeCell ref="L25:L26"/>
    <mergeCell ref="M25:M26"/>
    <mergeCell ref="A27:A29"/>
    <mergeCell ref="H27:H29"/>
    <mergeCell ref="J27:K27"/>
    <mergeCell ref="C28:C29"/>
    <mergeCell ref="I28:I29"/>
    <mergeCell ref="J28:K29"/>
    <mergeCell ref="L28:L29"/>
    <mergeCell ref="M28:M29"/>
    <mergeCell ref="H30:H32"/>
    <mergeCell ref="J30:K30"/>
    <mergeCell ref="B31:B32"/>
    <mergeCell ref="D31:D32"/>
    <mergeCell ref="E31:E32"/>
    <mergeCell ref="F31:F32"/>
    <mergeCell ref="J31:K32"/>
    <mergeCell ref="A48:A49"/>
    <mergeCell ref="C48:D48"/>
    <mergeCell ref="C49:D49"/>
    <mergeCell ref="A30:A32"/>
    <mergeCell ref="C30:C32"/>
    <mergeCell ref="A34:F35"/>
  </mergeCells>
  <printOptions horizontalCentered="1"/>
  <pageMargins left="0.11811023622047245" right="0" top="0" bottom="0" header="0" footer="0"/>
  <pageSetup paperSize="9" scale="46" orientation="landscape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"/>
  <dimension ref="A1:AC88"/>
  <sheetViews>
    <sheetView showGridLines="0" zoomScaleNormal="100" workbookViewId="0">
      <selection activeCell="A27" sqref="A27:XFD27"/>
    </sheetView>
  </sheetViews>
  <sheetFormatPr defaultRowHeight="11.25" x14ac:dyDescent="0.2"/>
  <cols>
    <col min="1" max="1" width="9" style="982" customWidth="1"/>
    <col min="2" max="2" width="26.28515625" style="983" customWidth="1"/>
    <col min="3" max="7" width="7.7109375" style="983" customWidth="1"/>
    <col min="8" max="8" width="8.28515625" style="983" customWidth="1"/>
    <col min="9" max="9" width="8.42578125" style="983" customWidth="1"/>
    <col min="10" max="11" width="10" style="983" customWidth="1"/>
    <col min="12" max="12" width="10.28515625" style="983" customWidth="1"/>
    <col min="13" max="13" width="9.28515625" style="983" customWidth="1"/>
    <col min="14" max="15" width="9.7109375" style="983" customWidth="1"/>
    <col min="16" max="16" width="8.140625" style="982" customWidth="1"/>
    <col min="17" max="18" width="9.140625" style="982"/>
    <col min="19" max="22" width="9" style="982" customWidth="1"/>
    <col min="23" max="256" width="9.140625" style="982"/>
    <col min="257" max="257" width="9" style="982" customWidth="1"/>
    <col min="258" max="258" width="28.28515625" style="982" customWidth="1"/>
    <col min="259" max="265" width="7.7109375" style="982" customWidth="1"/>
    <col min="266" max="266" width="10.140625" style="982" customWidth="1"/>
    <col min="267" max="271" width="7.85546875" style="982" customWidth="1"/>
    <col min="272" max="272" width="8.140625" style="982" customWidth="1"/>
    <col min="273" max="274" width="9.140625" style="982"/>
    <col min="275" max="278" width="9" style="982" customWidth="1"/>
    <col min="279" max="512" width="9.140625" style="982"/>
    <col min="513" max="513" width="9" style="982" customWidth="1"/>
    <col min="514" max="514" width="28.28515625" style="982" customWidth="1"/>
    <col min="515" max="521" width="7.7109375" style="982" customWidth="1"/>
    <col min="522" max="522" width="10.140625" style="982" customWidth="1"/>
    <col min="523" max="527" width="7.85546875" style="982" customWidth="1"/>
    <col min="528" max="528" width="8.140625" style="982" customWidth="1"/>
    <col min="529" max="530" width="9.140625" style="982"/>
    <col min="531" max="534" width="9" style="982" customWidth="1"/>
    <col min="535" max="768" width="9.140625" style="982"/>
    <col min="769" max="769" width="9" style="982" customWidth="1"/>
    <col min="770" max="770" width="28.28515625" style="982" customWidth="1"/>
    <col min="771" max="777" width="7.7109375" style="982" customWidth="1"/>
    <col min="778" max="778" width="10.140625" style="982" customWidth="1"/>
    <col min="779" max="783" width="7.85546875" style="982" customWidth="1"/>
    <col min="784" max="784" width="8.140625" style="982" customWidth="1"/>
    <col min="785" max="786" width="9.140625" style="982"/>
    <col min="787" max="790" width="9" style="982" customWidth="1"/>
    <col min="791" max="1024" width="9.140625" style="982"/>
    <col min="1025" max="1025" width="9" style="982" customWidth="1"/>
    <col min="1026" max="1026" width="28.28515625" style="982" customWidth="1"/>
    <col min="1027" max="1033" width="7.7109375" style="982" customWidth="1"/>
    <col min="1034" max="1034" width="10.140625" style="982" customWidth="1"/>
    <col min="1035" max="1039" width="7.85546875" style="982" customWidth="1"/>
    <col min="1040" max="1040" width="8.140625" style="982" customWidth="1"/>
    <col min="1041" max="1042" width="9.140625" style="982"/>
    <col min="1043" max="1046" width="9" style="982" customWidth="1"/>
    <col min="1047" max="1280" width="9.140625" style="982"/>
    <col min="1281" max="1281" width="9" style="982" customWidth="1"/>
    <col min="1282" max="1282" width="28.28515625" style="982" customWidth="1"/>
    <col min="1283" max="1289" width="7.7109375" style="982" customWidth="1"/>
    <col min="1290" max="1290" width="10.140625" style="982" customWidth="1"/>
    <col min="1291" max="1295" width="7.85546875" style="982" customWidth="1"/>
    <col min="1296" max="1296" width="8.140625" style="982" customWidth="1"/>
    <col min="1297" max="1298" width="9.140625" style="982"/>
    <col min="1299" max="1302" width="9" style="982" customWidth="1"/>
    <col min="1303" max="1536" width="9.140625" style="982"/>
    <col min="1537" max="1537" width="9" style="982" customWidth="1"/>
    <col min="1538" max="1538" width="28.28515625" style="982" customWidth="1"/>
    <col min="1539" max="1545" width="7.7109375" style="982" customWidth="1"/>
    <col min="1546" max="1546" width="10.140625" style="982" customWidth="1"/>
    <col min="1547" max="1551" width="7.85546875" style="982" customWidth="1"/>
    <col min="1552" max="1552" width="8.140625" style="982" customWidth="1"/>
    <col min="1553" max="1554" width="9.140625" style="982"/>
    <col min="1555" max="1558" width="9" style="982" customWidth="1"/>
    <col min="1559" max="1792" width="9.140625" style="982"/>
    <col min="1793" max="1793" width="9" style="982" customWidth="1"/>
    <col min="1794" max="1794" width="28.28515625" style="982" customWidth="1"/>
    <col min="1795" max="1801" width="7.7109375" style="982" customWidth="1"/>
    <col min="1802" max="1802" width="10.140625" style="982" customWidth="1"/>
    <col min="1803" max="1807" width="7.85546875" style="982" customWidth="1"/>
    <col min="1808" max="1808" width="8.140625" style="982" customWidth="1"/>
    <col min="1809" max="1810" width="9.140625" style="982"/>
    <col min="1811" max="1814" width="9" style="982" customWidth="1"/>
    <col min="1815" max="2048" width="9.140625" style="982"/>
    <col min="2049" max="2049" width="9" style="982" customWidth="1"/>
    <col min="2050" max="2050" width="28.28515625" style="982" customWidth="1"/>
    <col min="2051" max="2057" width="7.7109375" style="982" customWidth="1"/>
    <col min="2058" max="2058" width="10.140625" style="982" customWidth="1"/>
    <col min="2059" max="2063" width="7.85546875" style="982" customWidth="1"/>
    <col min="2064" max="2064" width="8.140625" style="982" customWidth="1"/>
    <col min="2065" max="2066" width="9.140625" style="982"/>
    <col min="2067" max="2070" width="9" style="982" customWidth="1"/>
    <col min="2071" max="2304" width="9.140625" style="982"/>
    <col min="2305" max="2305" width="9" style="982" customWidth="1"/>
    <col min="2306" max="2306" width="28.28515625" style="982" customWidth="1"/>
    <col min="2307" max="2313" width="7.7109375" style="982" customWidth="1"/>
    <col min="2314" max="2314" width="10.140625" style="982" customWidth="1"/>
    <col min="2315" max="2319" width="7.85546875" style="982" customWidth="1"/>
    <col min="2320" max="2320" width="8.140625" style="982" customWidth="1"/>
    <col min="2321" max="2322" width="9.140625" style="982"/>
    <col min="2323" max="2326" width="9" style="982" customWidth="1"/>
    <col min="2327" max="2560" width="9.140625" style="982"/>
    <col min="2561" max="2561" width="9" style="982" customWidth="1"/>
    <col min="2562" max="2562" width="28.28515625" style="982" customWidth="1"/>
    <col min="2563" max="2569" width="7.7109375" style="982" customWidth="1"/>
    <col min="2570" max="2570" width="10.140625" style="982" customWidth="1"/>
    <col min="2571" max="2575" width="7.85546875" style="982" customWidth="1"/>
    <col min="2576" max="2576" width="8.140625" style="982" customWidth="1"/>
    <col min="2577" max="2578" width="9.140625" style="982"/>
    <col min="2579" max="2582" width="9" style="982" customWidth="1"/>
    <col min="2583" max="2816" width="9.140625" style="982"/>
    <col min="2817" max="2817" width="9" style="982" customWidth="1"/>
    <col min="2818" max="2818" width="28.28515625" style="982" customWidth="1"/>
    <col min="2819" max="2825" width="7.7109375" style="982" customWidth="1"/>
    <col min="2826" max="2826" width="10.140625" style="982" customWidth="1"/>
    <col min="2827" max="2831" width="7.85546875" style="982" customWidth="1"/>
    <col min="2832" max="2832" width="8.140625" style="982" customWidth="1"/>
    <col min="2833" max="2834" width="9.140625" style="982"/>
    <col min="2835" max="2838" width="9" style="982" customWidth="1"/>
    <col min="2839" max="3072" width="9.140625" style="982"/>
    <col min="3073" max="3073" width="9" style="982" customWidth="1"/>
    <col min="3074" max="3074" width="28.28515625" style="982" customWidth="1"/>
    <col min="3075" max="3081" width="7.7109375" style="982" customWidth="1"/>
    <col min="3082" max="3082" width="10.140625" style="982" customWidth="1"/>
    <col min="3083" max="3087" width="7.85546875" style="982" customWidth="1"/>
    <col min="3088" max="3088" width="8.140625" style="982" customWidth="1"/>
    <col min="3089" max="3090" width="9.140625" style="982"/>
    <col min="3091" max="3094" width="9" style="982" customWidth="1"/>
    <col min="3095" max="3328" width="9.140625" style="982"/>
    <col min="3329" max="3329" width="9" style="982" customWidth="1"/>
    <col min="3330" max="3330" width="28.28515625" style="982" customWidth="1"/>
    <col min="3331" max="3337" width="7.7109375" style="982" customWidth="1"/>
    <col min="3338" max="3338" width="10.140625" style="982" customWidth="1"/>
    <col min="3339" max="3343" width="7.85546875" style="982" customWidth="1"/>
    <col min="3344" max="3344" width="8.140625" style="982" customWidth="1"/>
    <col min="3345" max="3346" width="9.140625" style="982"/>
    <col min="3347" max="3350" width="9" style="982" customWidth="1"/>
    <col min="3351" max="3584" width="9.140625" style="982"/>
    <col min="3585" max="3585" width="9" style="982" customWidth="1"/>
    <col min="3586" max="3586" width="28.28515625" style="982" customWidth="1"/>
    <col min="3587" max="3593" width="7.7109375" style="982" customWidth="1"/>
    <col min="3594" max="3594" width="10.140625" style="982" customWidth="1"/>
    <col min="3595" max="3599" width="7.85546875" style="982" customWidth="1"/>
    <col min="3600" max="3600" width="8.140625" style="982" customWidth="1"/>
    <col min="3601" max="3602" width="9.140625" style="982"/>
    <col min="3603" max="3606" width="9" style="982" customWidth="1"/>
    <col min="3607" max="3840" width="9.140625" style="982"/>
    <col min="3841" max="3841" width="9" style="982" customWidth="1"/>
    <col min="3842" max="3842" width="28.28515625" style="982" customWidth="1"/>
    <col min="3843" max="3849" width="7.7109375" style="982" customWidth="1"/>
    <col min="3850" max="3850" width="10.140625" style="982" customWidth="1"/>
    <col min="3851" max="3855" width="7.85546875" style="982" customWidth="1"/>
    <col min="3856" max="3856" width="8.140625" style="982" customWidth="1"/>
    <col min="3857" max="3858" width="9.140625" style="982"/>
    <col min="3859" max="3862" width="9" style="982" customWidth="1"/>
    <col min="3863" max="4096" width="9.140625" style="982"/>
    <col min="4097" max="4097" width="9" style="982" customWidth="1"/>
    <col min="4098" max="4098" width="28.28515625" style="982" customWidth="1"/>
    <col min="4099" max="4105" width="7.7109375" style="982" customWidth="1"/>
    <col min="4106" max="4106" width="10.140625" style="982" customWidth="1"/>
    <col min="4107" max="4111" width="7.85546875" style="982" customWidth="1"/>
    <col min="4112" max="4112" width="8.140625" style="982" customWidth="1"/>
    <col min="4113" max="4114" width="9.140625" style="982"/>
    <col min="4115" max="4118" width="9" style="982" customWidth="1"/>
    <col min="4119" max="4352" width="9.140625" style="982"/>
    <col min="4353" max="4353" width="9" style="982" customWidth="1"/>
    <col min="4354" max="4354" width="28.28515625" style="982" customWidth="1"/>
    <col min="4355" max="4361" width="7.7109375" style="982" customWidth="1"/>
    <col min="4362" max="4362" width="10.140625" style="982" customWidth="1"/>
    <col min="4363" max="4367" width="7.85546875" style="982" customWidth="1"/>
    <col min="4368" max="4368" width="8.140625" style="982" customWidth="1"/>
    <col min="4369" max="4370" width="9.140625" style="982"/>
    <col min="4371" max="4374" width="9" style="982" customWidth="1"/>
    <col min="4375" max="4608" width="9.140625" style="982"/>
    <col min="4609" max="4609" width="9" style="982" customWidth="1"/>
    <col min="4610" max="4610" width="28.28515625" style="982" customWidth="1"/>
    <col min="4611" max="4617" width="7.7109375" style="982" customWidth="1"/>
    <col min="4618" max="4618" width="10.140625" style="982" customWidth="1"/>
    <col min="4619" max="4623" width="7.85546875" style="982" customWidth="1"/>
    <col min="4624" max="4624" width="8.140625" style="982" customWidth="1"/>
    <col min="4625" max="4626" width="9.140625" style="982"/>
    <col min="4627" max="4630" width="9" style="982" customWidth="1"/>
    <col min="4631" max="4864" width="9.140625" style="982"/>
    <col min="4865" max="4865" width="9" style="982" customWidth="1"/>
    <col min="4866" max="4866" width="28.28515625" style="982" customWidth="1"/>
    <col min="4867" max="4873" width="7.7109375" style="982" customWidth="1"/>
    <col min="4874" max="4874" width="10.140625" style="982" customWidth="1"/>
    <col min="4875" max="4879" width="7.85546875" style="982" customWidth="1"/>
    <col min="4880" max="4880" width="8.140625" style="982" customWidth="1"/>
    <col min="4881" max="4882" width="9.140625" style="982"/>
    <col min="4883" max="4886" width="9" style="982" customWidth="1"/>
    <col min="4887" max="5120" width="9.140625" style="982"/>
    <col min="5121" max="5121" width="9" style="982" customWidth="1"/>
    <col min="5122" max="5122" width="28.28515625" style="982" customWidth="1"/>
    <col min="5123" max="5129" width="7.7109375" style="982" customWidth="1"/>
    <col min="5130" max="5130" width="10.140625" style="982" customWidth="1"/>
    <col min="5131" max="5135" width="7.85546875" style="982" customWidth="1"/>
    <col min="5136" max="5136" width="8.140625" style="982" customWidth="1"/>
    <col min="5137" max="5138" width="9.140625" style="982"/>
    <col min="5139" max="5142" width="9" style="982" customWidth="1"/>
    <col min="5143" max="5376" width="9.140625" style="982"/>
    <col min="5377" max="5377" width="9" style="982" customWidth="1"/>
    <col min="5378" max="5378" width="28.28515625" style="982" customWidth="1"/>
    <col min="5379" max="5385" width="7.7109375" style="982" customWidth="1"/>
    <col min="5386" max="5386" width="10.140625" style="982" customWidth="1"/>
    <col min="5387" max="5391" width="7.85546875" style="982" customWidth="1"/>
    <col min="5392" max="5392" width="8.140625" style="982" customWidth="1"/>
    <col min="5393" max="5394" width="9.140625" style="982"/>
    <col min="5395" max="5398" width="9" style="982" customWidth="1"/>
    <col min="5399" max="5632" width="9.140625" style="982"/>
    <col min="5633" max="5633" width="9" style="982" customWidth="1"/>
    <col min="5634" max="5634" width="28.28515625" style="982" customWidth="1"/>
    <col min="5635" max="5641" width="7.7109375" style="982" customWidth="1"/>
    <col min="5642" max="5642" width="10.140625" style="982" customWidth="1"/>
    <col min="5643" max="5647" width="7.85546875" style="982" customWidth="1"/>
    <col min="5648" max="5648" width="8.140625" style="982" customWidth="1"/>
    <col min="5649" max="5650" width="9.140625" style="982"/>
    <col min="5651" max="5654" width="9" style="982" customWidth="1"/>
    <col min="5655" max="5888" width="9.140625" style="982"/>
    <col min="5889" max="5889" width="9" style="982" customWidth="1"/>
    <col min="5890" max="5890" width="28.28515625" style="982" customWidth="1"/>
    <col min="5891" max="5897" width="7.7109375" style="982" customWidth="1"/>
    <col min="5898" max="5898" width="10.140625" style="982" customWidth="1"/>
    <col min="5899" max="5903" width="7.85546875" style="982" customWidth="1"/>
    <col min="5904" max="5904" width="8.140625" style="982" customWidth="1"/>
    <col min="5905" max="5906" width="9.140625" style="982"/>
    <col min="5907" max="5910" width="9" style="982" customWidth="1"/>
    <col min="5911" max="6144" width="9.140625" style="982"/>
    <col min="6145" max="6145" width="9" style="982" customWidth="1"/>
    <col min="6146" max="6146" width="28.28515625" style="982" customWidth="1"/>
    <col min="6147" max="6153" width="7.7109375" style="982" customWidth="1"/>
    <col min="6154" max="6154" width="10.140625" style="982" customWidth="1"/>
    <col min="6155" max="6159" width="7.85546875" style="982" customWidth="1"/>
    <col min="6160" max="6160" width="8.140625" style="982" customWidth="1"/>
    <col min="6161" max="6162" width="9.140625" style="982"/>
    <col min="6163" max="6166" width="9" style="982" customWidth="1"/>
    <col min="6167" max="6400" width="9.140625" style="982"/>
    <col min="6401" max="6401" width="9" style="982" customWidth="1"/>
    <col min="6402" max="6402" width="28.28515625" style="982" customWidth="1"/>
    <col min="6403" max="6409" width="7.7109375" style="982" customWidth="1"/>
    <col min="6410" max="6410" width="10.140625" style="982" customWidth="1"/>
    <col min="6411" max="6415" width="7.85546875" style="982" customWidth="1"/>
    <col min="6416" max="6416" width="8.140625" style="982" customWidth="1"/>
    <col min="6417" max="6418" width="9.140625" style="982"/>
    <col min="6419" max="6422" width="9" style="982" customWidth="1"/>
    <col min="6423" max="6656" width="9.140625" style="982"/>
    <col min="6657" max="6657" width="9" style="982" customWidth="1"/>
    <col min="6658" max="6658" width="28.28515625" style="982" customWidth="1"/>
    <col min="6659" max="6665" width="7.7109375" style="982" customWidth="1"/>
    <col min="6666" max="6666" width="10.140625" style="982" customWidth="1"/>
    <col min="6667" max="6671" width="7.85546875" style="982" customWidth="1"/>
    <col min="6672" max="6672" width="8.140625" style="982" customWidth="1"/>
    <col min="6673" max="6674" width="9.140625" style="982"/>
    <col min="6675" max="6678" width="9" style="982" customWidth="1"/>
    <col min="6679" max="6912" width="9.140625" style="982"/>
    <col min="6913" max="6913" width="9" style="982" customWidth="1"/>
    <col min="6914" max="6914" width="28.28515625" style="982" customWidth="1"/>
    <col min="6915" max="6921" width="7.7109375" style="982" customWidth="1"/>
    <col min="6922" max="6922" width="10.140625" style="982" customWidth="1"/>
    <col min="6923" max="6927" width="7.85546875" style="982" customWidth="1"/>
    <col min="6928" max="6928" width="8.140625" style="982" customWidth="1"/>
    <col min="6929" max="6930" width="9.140625" style="982"/>
    <col min="6931" max="6934" width="9" style="982" customWidth="1"/>
    <col min="6935" max="7168" width="9.140625" style="982"/>
    <col min="7169" max="7169" width="9" style="982" customWidth="1"/>
    <col min="7170" max="7170" width="28.28515625" style="982" customWidth="1"/>
    <col min="7171" max="7177" width="7.7109375" style="982" customWidth="1"/>
    <col min="7178" max="7178" width="10.140625" style="982" customWidth="1"/>
    <col min="7179" max="7183" width="7.85546875" style="982" customWidth="1"/>
    <col min="7184" max="7184" width="8.140625" style="982" customWidth="1"/>
    <col min="7185" max="7186" width="9.140625" style="982"/>
    <col min="7187" max="7190" width="9" style="982" customWidth="1"/>
    <col min="7191" max="7424" width="9.140625" style="982"/>
    <col min="7425" max="7425" width="9" style="982" customWidth="1"/>
    <col min="7426" max="7426" width="28.28515625" style="982" customWidth="1"/>
    <col min="7427" max="7433" width="7.7109375" style="982" customWidth="1"/>
    <col min="7434" max="7434" width="10.140625" style="982" customWidth="1"/>
    <col min="7435" max="7439" width="7.85546875" style="982" customWidth="1"/>
    <col min="7440" max="7440" width="8.140625" style="982" customWidth="1"/>
    <col min="7441" max="7442" width="9.140625" style="982"/>
    <col min="7443" max="7446" width="9" style="982" customWidth="1"/>
    <col min="7447" max="7680" width="9.140625" style="982"/>
    <col min="7681" max="7681" width="9" style="982" customWidth="1"/>
    <col min="7682" max="7682" width="28.28515625" style="982" customWidth="1"/>
    <col min="7683" max="7689" width="7.7109375" style="982" customWidth="1"/>
    <col min="7690" max="7690" width="10.140625" style="982" customWidth="1"/>
    <col min="7691" max="7695" width="7.85546875" style="982" customWidth="1"/>
    <col min="7696" max="7696" width="8.140625" style="982" customWidth="1"/>
    <col min="7697" max="7698" width="9.140625" style="982"/>
    <col min="7699" max="7702" width="9" style="982" customWidth="1"/>
    <col min="7703" max="7936" width="9.140625" style="982"/>
    <col min="7937" max="7937" width="9" style="982" customWidth="1"/>
    <col min="7938" max="7938" width="28.28515625" style="982" customWidth="1"/>
    <col min="7939" max="7945" width="7.7109375" style="982" customWidth="1"/>
    <col min="7946" max="7946" width="10.140625" style="982" customWidth="1"/>
    <col min="7947" max="7951" width="7.85546875" style="982" customWidth="1"/>
    <col min="7952" max="7952" width="8.140625" style="982" customWidth="1"/>
    <col min="7953" max="7954" width="9.140625" style="982"/>
    <col min="7955" max="7958" width="9" style="982" customWidth="1"/>
    <col min="7959" max="8192" width="9.140625" style="982"/>
    <col min="8193" max="8193" width="9" style="982" customWidth="1"/>
    <col min="8194" max="8194" width="28.28515625" style="982" customWidth="1"/>
    <col min="8195" max="8201" width="7.7109375" style="982" customWidth="1"/>
    <col min="8202" max="8202" width="10.140625" style="982" customWidth="1"/>
    <col min="8203" max="8207" width="7.85546875" style="982" customWidth="1"/>
    <col min="8208" max="8208" width="8.140625" style="982" customWidth="1"/>
    <col min="8209" max="8210" width="9.140625" style="982"/>
    <col min="8211" max="8214" width="9" style="982" customWidth="1"/>
    <col min="8215" max="8448" width="9.140625" style="982"/>
    <col min="8449" max="8449" width="9" style="982" customWidth="1"/>
    <col min="8450" max="8450" width="28.28515625" style="982" customWidth="1"/>
    <col min="8451" max="8457" width="7.7109375" style="982" customWidth="1"/>
    <col min="8458" max="8458" width="10.140625" style="982" customWidth="1"/>
    <col min="8459" max="8463" width="7.85546875" style="982" customWidth="1"/>
    <col min="8464" max="8464" width="8.140625" style="982" customWidth="1"/>
    <col min="8465" max="8466" width="9.140625" style="982"/>
    <col min="8467" max="8470" width="9" style="982" customWidth="1"/>
    <col min="8471" max="8704" width="9.140625" style="982"/>
    <col min="8705" max="8705" width="9" style="982" customWidth="1"/>
    <col min="8706" max="8706" width="28.28515625" style="982" customWidth="1"/>
    <col min="8707" max="8713" width="7.7109375" style="982" customWidth="1"/>
    <col min="8714" max="8714" width="10.140625" style="982" customWidth="1"/>
    <col min="8715" max="8719" width="7.85546875" style="982" customWidth="1"/>
    <col min="8720" max="8720" width="8.140625" style="982" customWidth="1"/>
    <col min="8721" max="8722" width="9.140625" style="982"/>
    <col min="8723" max="8726" width="9" style="982" customWidth="1"/>
    <col min="8727" max="8960" width="9.140625" style="982"/>
    <col min="8961" max="8961" width="9" style="982" customWidth="1"/>
    <col min="8962" max="8962" width="28.28515625" style="982" customWidth="1"/>
    <col min="8963" max="8969" width="7.7109375" style="982" customWidth="1"/>
    <col min="8970" max="8970" width="10.140625" style="982" customWidth="1"/>
    <col min="8971" max="8975" width="7.85546875" style="982" customWidth="1"/>
    <col min="8976" max="8976" width="8.140625" style="982" customWidth="1"/>
    <col min="8977" max="8978" width="9.140625" style="982"/>
    <col min="8979" max="8982" width="9" style="982" customWidth="1"/>
    <col min="8983" max="9216" width="9.140625" style="982"/>
    <col min="9217" max="9217" width="9" style="982" customWidth="1"/>
    <col min="9218" max="9218" width="28.28515625" style="982" customWidth="1"/>
    <col min="9219" max="9225" width="7.7109375" style="982" customWidth="1"/>
    <col min="9226" max="9226" width="10.140625" style="982" customWidth="1"/>
    <col min="9227" max="9231" width="7.85546875" style="982" customWidth="1"/>
    <col min="9232" max="9232" width="8.140625" style="982" customWidth="1"/>
    <col min="9233" max="9234" width="9.140625" style="982"/>
    <col min="9235" max="9238" width="9" style="982" customWidth="1"/>
    <col min="9239" max="9472" width="9.140625" style="982"/>
    <col min="9473" max="9473" width="9" style="982" customWidth="1"/>
    <col min="9474" max="9474" width="28.28515625" style="982" customWidth="1"/>
    <col min="9475" max="9481" width="7.7109375" style="982" customWidth="1"/>
    <col min="9482" max="9482" width="10.140625" style="982" customWidth="1"/>
    <col min="9483" max="9487" width="7.85546875" style="982" customWidth="1"/>
    <col min="9488" max="9488" width="8.140625" style="982" customWidth="1"/>
    <col min="9489" max="9490" width="9.140625" style="982"/>
    <col min="9491" max="9494" width="9" style="982" customWidth="1"/>
    <col min="9495" max="9728" width="9.140625" style="982"/>
    <col min="9729" max="9729" width="9" style="982" customWidth="1"/>
    <col min="9730" max="9730" width="28.28515625" style="982" customWidth="1"/>
    <col min="9731" max="9737" width="7.7109375" style="982" customWidth="1"/>
    <col min="9738" max="9738" width="10.140625" style="982" customWidth="1"/>
    <col min="9739" max="9743" width="7.85546875" style="982" customWidth="1"/>
    <col min="9744" max="9744" width="8.140625" style="982" customWidth="1"/>
    <col min="9745" max="9746" width="9.140625" style="982"/>
    <col min="9747" max="9750" width="9" style="982" customWidth="1"/>
    <col min="9751" max="9984" width="9.140625" style="982"/>
    <col min="9985" max="9985" width="9" style="982" customWidth="1"/>
    <col min="9986" max="9986" width="28.28515625" style="982" customWidth="1"/>
    <col min="9987" max="9993" width="7.7109375" style="982" customWidth="1"/>
    <col min="9994" max="9994" width="10.140625" style="982" customWidth="1"/>
    <col min="9995" max="9999" width="7.85546875" style="982" customWidth="1"/>
    <col min="10000" max="10000" width="8.140625" style="982" customWidth="1"/>
    <col min="10001" max="10002" width="9.140625" style="982"/>
    <col min="10003" max="10006" width="9" style="982" customWidth="1"/>
    <col min="10007" max="10240" width="9.140625" style="982"/>
    <col min="10241" max="10241" width="9" style="982" customWidth="1"/>
    <col min="10242" max="10242" width="28.28515625" style="982" customWidth="1"/>
    <col min="10243" max="10249" width="7.7109375" style="982" customWidth="1"/>
    <col min="10250" max="10250" width="10.140625" style="982" customWidth="1"/>
    <col min="10251" max="10255" width="7.85546875" style="982" customWidth="1"/>
    <col min="10256" max="10256" width="8.140625" style="982" customWidth="1"/>
    <col min="10257" max="10258" width="9.140625" style="982"/>
    <col min="10259" max="10262" width="9" style="982" customWidth="1"/>
    <col min="10263" max="10496" width="9.140625" style="982"/>
    <col min="10497" max="10497" width="9" style="982" customWidth="1"/>
    <col min="10498" max="10498" width="28.28515625" style="982" customWidth="1"/>
    <col min="10499" max="10505" width="7.7109375" style="982" customWidth="1"/>
    <col min="10506" max="10506" width="10.140625" style="982" customWidth="1"/>
    <col min="10507" max="10511" width="7.85546875" style="982" customWidth="1"/>
    <col min="10512" max="10512" width="8.140625" style="982" customWidth="1"/>
    <col min="10513" max="10514" width="9.140625" style="982"/>
    <col min="10515" max="10518" width="9" style="982" customWidth="1"/>
    <col min="10519" max="10752" width="9.140625" style="982"/>
    <col min="10753" max="10753" width="9" style="982" customWidth="1"/>
    <col min="10754" max="10754" width="28.28515625" style="982" customWidth="1"/>
    <col min="10755" max="10761" width="7.7109375" style="982" customWidth="1"/>
    <col min="10762" max="10762" width="10.140625" style="982" customWidth="1"/>
    <col min="10763" max="10767" width="7.85546875" style="982" customWidth="1"/>
    <col min="10768" max="10768" width="8.140625" style="982" customWidth="1"/>
    <col min="10769" max="10770" width="9.140625" style="982"/>
    <col min="10771" max="10774" width="9" style="982" customWidth="1"/>
    <col min="10775" max="11008" width="9.140625" style="982"/>
    <col min="11009" max="11009" width="9" style="982" customWidth="1"/>
    <col min="11010" max="11010" width="28.28515625" style="982" customWidth="1"/>
    <col min="11011" max="11017" width="7.7109375" style="982" customWidth="1"/>
    <col min="11018" max="11018" width="10.140625" style="982" customWidth="1"/>
    <col min="11019" max="11023" width="7.85546875" style="982" customWidth="1"/>
    <col min="11024" max="11024" width="8.140625" style="982" customWidth="1"/>
    <col min="11025" max="11026" width="9.140625" style="982"/>
    <col min="11027" max="11030" width="9" style="982" customWidth="1"/>
    <col min="11031" max="11264" width="9.140625" style="982"/>
    <col min="11265" max="11265" width="9" style="982" customWidth="1"/>
    <col min="11266" max="11266" width="28.28515625" style="982" customWidth="1"/>
    <col min="11267" max="11273" width="7.7109375" style="982" customWidth="1"/>
    <col min="11274" max="11274" width="10.140625" style="982" customWidth="1"/>
    <col min="11275" max="11279" width="7.85546875" style="982" customWidth="1"/>
    <col min="11280" max="11280" width="8.140625" style="982" customWidth="1"/>
    <col min="11281" max="11282" width="9.140625" style="982"/>
    <col min="11283" max="11286" width="9" style="982" customWidth="1"/>
    <col min="11287" max="11520" width="9.140625" style="982"/>
    <col min="11521" max="11521" width="9" style="982" customWidth="1"/>
    <col min="11522" max="11522" width="28.28515625" style="982" customWidth="1"/>
    <col min="11523" max="11529" width="7.7109375" style="982" customWidth="1"/>
    <col min="11530" max="11530" width="10.140625" style="982" customWidth="1"/>
    <col min="11531" max="11535" width="7.85546875" style="982" customWidth="1"/>
    <col min="11536" max="11536" width="8.140625" style="982" customWidth="1"/>
    <col min="11537" max="11538" width="9.140625" style="982"/>
    <col min="11539" max="11542" width="9" style="982" customWidth="1"/>
    <col min="11543" max="11776" width="9.140625" style="982"/>
    <col min="11777" max="11777" width="9" style="982" customWidth="1"/>
    <col min="11778" max="11778" width="28.28515625" style="982" customWidth="1"/>
    <col min="11779" max="11785" width="7.7109375" style="982" customWidth="1"/>
    <col min="11786" max="11786" width="10.140625" style="982" customWidth="1"/>
    <col min="11787" max="11791" width="7.85546875" style="982" customWidth="1"/>
    <col min="11792" max="11792" width="8.140625" style="982" customWidth="1"/>
    <col min="11793" max="11794" width="9.140625" style="982"/>
    <col min="11795" max="11798" width="9" style="982" customWidth="1"/>
    <col min="11799" max="12032" width="9.140625" style="982"/>
    <col min="12033" max="12033" width="9" style="982" customWidth="1"/>
    <col min="12034" max="12034" width="28.28515625" style="982" customWidth="1"/>
    <col min="12035" max="12041" width="7.7109375" style="982" customWidth="1"/>
    <col min="12042" max="12042" width="10.140625" style="982" customWidth="1"/>
    <col min="12043" max="12047" width="7.85546875" style="982" customWidth="1"/>
    <col min="12048" max="12048" width="8.140625" style="982" customWidth="1"/>
    <col min="12049" max="12050" width="9.140625" style="982"/>
    <col min="12051" max="12054" width="9" style="982" customWidth="1"/>
    <col min="12055" max="12288" width="9.140625" style="982"/>
    <col min="12289" max="12289" width="9" style="982" customWidth="1"/>
    <col min="12290" max="12290" width="28.28515625" style="982" customWidth="1"/>
    <col min="12291" max="12297" width="7.7109375" style="982" customWidth="1"/>
    <col min="12298" max="12298" width="10.140625" style="982" customWidth="1"/>
    <col min="12299" max="12303" width="7.85546875" style="982" customWidth="1"/>
    <col min="12304" max="12304" width="8.140625" style="982" customWidth="1"/>
    <col min="12305" max="12306" width="9.140625" style="982"/>
    <col min="12307" max="12310" width="9" style="982" customWidth="1"/>
    <col min="12311" max="12544" width="9.140625" style="982"/>
    <col min="12545" max="12545" width="9" style="982" customWidth="1"/>
    <col min="12546" max="12546" width="28.28515625" style="982" customWidth="1"/>
    <col min="12547" max="12553" width="7.7109375" style="982" customWidth="1"/>
    <col min="12554" max="12554" width="10.140625" style="982" customWidth="1"/>
    <col min="12555" max="12559" width="7.85546875" style="982" customWidth="1"/>
    <col min="12560" max="12560" width="8.140625" style="982" customWidth="1"/>
    <col min="12561" max="12562" width="9.140625" style="982"/>
    <col min="12563" max="12566" width="9" style="982" customWidth="1"/>
    <col min="12567" max="12800" width="9.140625" style="982"/>
    <col min="12801" max="12801" width="9" style="982" customWidth="1"/>
    <col min="12802" max="12802" width="28.28515625" style="982" customWidth="1"/>
    <col min="12803" max="12809" width="7.7109375" style="982" customWidth="1"/>
    <col min="12810" max="12810" width="10.140625" style="982" customWidth="1"/>
    <col min="12811" max="12815" width="7.85546875" style="982" customWidth="1"/>
    <col min="12816" max="12816" width="8.140625" style="982" customWidth="1"/>
    <col min="12817" max="12818" width="9.140625" style="982"/>
    <col min="12819" max="12822" width="9" style="982" customWidth="1"/>
    <col min="12823" max="13056" width="9.140625" style="982"/>
    <col min="13057" max="13057" width="9" style="982" customWidth="1"/>
    <col min="13058" max="13058" width="28.28515625" style="982" customWidth="1"/>
    <col min="13059" max="13065" width="7.7109375" style="982" customWidth="1"/>
    <col min="13066" max="13066" width="10.140625" style="982" customWidth="1"/>
    <col min="13067" max="13071" width="7.85546875" style="982" customWidth="1"/>
    <col min="13072" max="13072" width="8.140625" style="982" customWidth="1"/>
    <col min="13073" max="13074" width="9.140625" style="982"/>
    <col min="13075" max="13078" width="9" style="982" customWidth="1"/>
    <col min="13079" max="13312" width="9.140625" style="982"/>
    <col min="13313" max="13313" width="9" style="982" customWidth="1"/>
    <col min="13314" max="13314" width="28.28515625" style="982" customWidth="1"/>
    <col min="13315" max="13321" width="7.7109375" style="982" customWidth="1"/>
    <col min="13322" max="13322" width="10.140625" style="982" customWidth="1"/>
    <col min="13323" max="13327" width="7.85546875" style="982" customWidth="1"/>
    <col min="13328" max="13328" width="8.140625" style="982" customWidth="1"/>
    <col min="13329" max="13330" width="9.140625" style="982"/>
    <col min="13331" max="13334" width="9" style="982" customWidth="1"/>
    <col min="13335" max="13568" width="9.140625" style="982"/>
    <col min="13569" max="13569" width="9" style="982" customWidth="1"/>
    <col min="13570" max="13570" width="28.28515625" style="982" customWidth="1"/>
    <col min="13571" max="13577" width="7.7109375" style="982" customWidth="1"/>
    <col min="13578" max="13578" width="10.140625" style="982" customWidth="1"/>
    <col min="13579" max="13583" width="7.85546875" style="982" customWidth="1"/>
    <col min="13584" max="13584" width="8.140625" style="982" customWidth="1"/>
    <col min="13585" max="13586" width="9.140625" style="982"/>
    <col min="13587" max="13590" width="9" style="982" customWidth="1"/>
    <col min="13591" max="13824" width="9.140625" style="982"/>
    <col min="13825" max="13825" width="9" style="982" customWidth="1"/>
    <col min="13826" max="13826" width="28.28515625" style="982" customWidth="1"/>
    <col min="13827" max="13833" width="7.7109375" style="982" customWidth="1"/>
    <col min="13834" max="13834" width="10.140625" style="982" customWidth="1"/>
    <col min="13835" max="13839" width="7.85546875" style="982" customWidth="1"/>
    <col min="13840" max="13840" width="8.140625" style="982" customWidth="1"/>
    <col min="13841" max="13842" width="9.140625" style="982"/>
    <col min="13843" max="13846" width="9" style="982" customWidth="1"/>
    <col min="13847" max="14080" width="9.140625" style="982"/>
    <col min="14081" max="14081" width="9" style="982" customWidth="1"/>
    <col min="14082" max="14082" width="28.28515625" style="982" customWidth="1"/>
    <col min="14083" max="14089" width="7.7109375" style="982" customWidth="1"/>
    <col min="14090" max="14090" width="10.140625" style="982" customWidth="1"/>
    <col min="14091" max="14095" width="7.85546875" style="982" customWidth="1"/>
    <col min="14096" max="14096" width="8.140625" style="982" customWidth="1"/>
    <col min="14097" max="14098" width="9.140625" style="982"/>
    <col min="14099" max="14102" width="9" style="982" customWidth="1"/>
    <col min="14103" max="14336" width="9.140625" style="982"/>
    <col min="14337" max="14337" width="9" style="982" customWidth="1"/>
    <col min="14338" max="14338" width="28.28515625" style="982" customWidth="1"/>
    <col min="14339" max="14345" width="7.7109375" style="982" customWidth="1"/>
    <col min="14346" max="14346" width="10.140625" style="982" customWidth="1"/>
    <col min="14347" max="14351" width="7.85546875" style="982" customWidth="1"/>
    <col min="14352" max="14352" width="8.140625" style="982" customWidth="1"/>
    <col min="14353" max="14354" width="9.140625" style="982"/>
    <col min="14355" max="14358" width="9" style="982" customWidth="1"/>
    <col min="14359" max="14592" width="9.140625" style="982"/>
    <col min="14593" max="14593" width="9" style="982" customWidth="1"/>
    <col min="14594" max="14594" width="28.28515625" style="982" customWidth="1"/>
    <col min="14595" max="14601" width="7.7109375" style="982" customWidth="1"/>
    <col min="14602" max="14602" width="10.140625" style="982" customWidth="1"/>
    <col min="14603" max="14607" width="7.85546875" style="982" customWidth="1"/>
    <col min="14608" max="14608" width="8.140625" style="982" customWidth="1"/>
    <col min="14609" max="14610" width="9.140625" style="982"/>
    <col min="14611" max="14614" width="9" style="982" customWidth="1"/>
    <col min="14615" max="14848" width="9.140625" style="982"/>
    <col min="14849" max="14849" width="9" style="982" customWidth="1"/>
    <col min="14850" max="14850" width="28.28515625" style="982" customWidth="1"/>
    <col min="14851" max="14857" width="7.7109375" style="982" customWidth="1"/>
    <col min="14858" max="14858" width="10.140625" style="982" customWidth="1"/>
    <col min="14859" max="14863" width="7.85546875" style="982" customWidth="1"/>
    <col min="14864" max="14864" width="8.140625" style="982" customWidth="1"/>
    <col min="14865" max="14866" width="9.140625" style="982"/>
    <col min="14867" max="14870" width="9" style="982" customWidth="1"/>
    <col min="14871" max="15104" width="9.140625" style="982"/>
    <col min="15105" max="15105" width="9" style="982" customWidth="1"/>
    <col min="15106" max="15106" width="28.28515625" style="982" customWidth="1"/>
    <col min="15107" max="15113" width="7.7109375" style="982" customWidth="1"/>
    <col min="15114" max="15114" width="10.140625" style="982" customWidth="1"/>
    <col min="15115" max="15119" width="7.85546875" style="982" customWidth="1"/>
    <col min="15120" max="15120" width="8.140625" style="982" customWidth="1"/>
    <col min="15121" max="15122" width="9.140625" style="982"/>
    <col min="15123" max="15126" width="9" style="982" customWidth="1"/>
    <col min="15127" max="15360" width="9.140625" style="982"/>
    <col min="15361" max="15361" width="9" style="982" customWidth="1"/>
    <col min="15362" max="15362" width="28.28515625" style="982" customWidth="1"/>
    <col min="15363" max="15369" width="7.7109375" style="982" customWidth="1"/>
    <col min="15370" max="15370" width="10.140625" style="982" customWidth="1"/>
    <col min="15371" max="15375" width="7.85546875" style="982" customWidth="1"/>
    <col min="15376" max="15376" width="8.140625" style="982" customWidth="1"/>
    <col min="15377" max="15378" width="9.140625" style="982"/>
    <col min="15379" max="15382" width="9" style="982" customWidth="1"/>
    <col min="15383" max="15616" width="9.140625" style="982"/>
    <col min="15617" max="15617" width="9" style="982" customWidth="1"/>
    <col min="15618" max="15618" width="28.28515625" style="982" customWidth="1"/>
    <col min="15619" max="15625" width="7.7109375" style="982" customWidth="1"/>
    <col min="15626" max="15626" width="10.140625" style="982" customWidth="1"/>
    <col min="15627" max="15631" width="7.85546875" style="982" customWidth="1"/>
    <col min="15632" max="15632" width="8.140625" style="982" customWidth="1"/>
    <col min="15633" max="15634" width="9.140625" style="982"/>
    <col min="15635" max="15638" width="9" style="982" customWidth="1"/>
    <col min="15639" max="15872" width="9.140625" style="982"/>
    <col min="15873" max="15873" width="9" style="982" customWidth="1"/>
    <col min="15874" max="15874" width="28.28515625" style="982" customWidth="1"/>
    <col min="15875" max="15881" width="7.7109375" style="982" customWidth="1"/>
    <col min="15882" max="15882" width="10.140625" style="982" customWidth="1"/>
    <col min="15883" max="15887" width="7.85546875" style="982" customWidth="1"/>
    <col min="15888" max="15888" width="8.140625" style="982" customWidth="1"/>
    <col min="15889" max="15890" width="9.140625" style="982"/>
    <col min="15891" max="15894" width="9" style="982" customWidth="1"/>
    <col min="15895" max="16128" width="9.140625" style="982"/>
    <col min="16129" max="16129" width="9" style="982" customWidth="1"/>
    <col min="16130" max="16130" width="28.28515625" style="982" customWidth="1"/>
    <col min="16131" max="16137" width="7.7109375" style="982" customWidth="1"/>
    <col min="16138" max="16138" width="10.140625" style="982" customWidth="1"/>
    <col min="16139" max="16143" width="7.85546875" style="982" customWidth="1"/>
    <col min="16144" max="16144" width="8.140625" style="982" customWidth="1"/>
    <col min="16145" max="16146" width="9.140625" style="982"/>
    <col min="16147" max="16150" width="9" style="982" customWidth="1"/>
    <col min="16151" max="16384" width="9.140625" style="982"/>
  </cols>
  <sheetData>
    <row r="1" spans="1:21" ht="62.25" customHeight="1" thickBot="1" x14ac:dyDescent="0.25">
      <c r="A1" s="2719"/>
      <c r="B1" s="2719"/>
      <c r="C1" s="2719"/>
      <c r="D1" s="2719"/>
      <c r="E1" s="2719"/>
      <c r="F1" s="2719"/>
      <c r="G1" s="2719"/>
      <c r="H1" s="2719"/>
      <c r="I1" s="2719"/>
      <c r="J1" s="2719"/>
      <c r="K1" s="2719"/>
      <c r="L1" s="2719"/>
      <c r="M1" s="2719"/>
      <c r="N1" s="2719"/>
      <c r="O1" s="2719"/>
    </row>
    <row r="2" spans="1:21" ht="18" x14ac:dyDescent="0.25">
      <c r="A2" s="2732" t="s">
        <v>1770</v>
      </c>
      <c r="B2" s="2732"/>
      <c r="C2" s="2732"/>
      <c r="D2" s="2732"/>
      <c r="E2" s="2732"/>
      <c r="F2" s="2732"/>
      <c r="G2" s="2732"/>
      <c r="H2" s="2732"/>
      <c r="I2" s="2732"/>
      <c r="J2" s="2732"/>
      <c r="K2" s="2732"/>
      <c r="L2" s="2732"/>
      <c r="M2" s="2732"/>
      <c r="N2" s="2732"/>
      <c r="O2" s="2732"/>
      <c r="P2" s="984"/>
      <c r="Q2" s="984"/>
      <c r="R2" s="984"/>
      <c r="S2" s="984"/>
      <c r="T2" s="984"/>
      <c r="U2" s="984"/>
    </row>
    <row r="3" spans="1:21" ht="12" x14ac:dyDescent="0.2">
      <c r="B3" s="985"/>
      <c r="C3" s="985"/>
      <c r="D3" s="985"/>
      <c r="E3" s="985"/>
      <c r="F3" s="985"/>
      <c r="G3" s="985"/>
      <c r="H3" s="985"/>
      <c r="I3" s="985"/>
      <c r="J3" s="985"/>
      <c r="K3" s="985"/>
      <c r="L3" s="1023"/>
      <c r="M3" s="1024" t="s">
        <v>1</v>
      </c>
      <c r="N3" s="2727">
        <v>42502</v>
      </c>
      <c r="O3" s="2727"/>
    </row>
    <row r="4" spans="1:21" ht="24.75" customHeight="1" x14ac:dyDescent="0.2">
      <c r="A4" s="2728" t="s">
        <v>1771</v>
      </c>
      <c r="B4" s="2728"/>
      <c r="C4" s="2729" t="s">
        <v>802</v>
      </c>
      <c r="D4" s="2730"/>
      <c r="E4" s="2730"/>
      <c r="F4" s="2730"/>
      <c r="G4" s="2730"/>
      <c r="H4" s="2730"/>
      <c r="I4" s="2731"/>
      <c r="J4" s="1005" t="s">
        <v>1821</v>
      </c>
      <c r="K4" s="1005" t="s">
        <v>1822</v>
      </c>
      <c r="L4" s="986" t="s">
        <v>2309</v>
      </c>
      <c r="M4" s="986" t="s">
        <v>1772</v>
      </c>
      <c r="N4" s="987" t="s">
        <v>1773</v>
      </c>
      <c r="O4" s="988" t="s">
        <v>1774</v>
      </c>
      <c r="S4" s="989"/>
    </row>
    <row r="5" spans="1:21" ht="12.75" customHeight="1" x14ac:dyDescent="0.2">
      <c r="A5" s="2720" t="s">
        <v>2301</v>
      </c>
      <c r="B5" s="2721"/>
      <c r="C5" s="2721"/>
      <c r="D5" s="2721"/>
      <c r="E5" s="2721"/>
      <c r="F5" s="2721"/>
      <c r="G5" s="2721"/>
      <c r="H5" s="2721"/>
      <c r="I5" s="2721"/>
      <c r="J5" s="2721"/>
      <c r="K5" s="2721"/>
      <c r="L5" s="2721"/>
      <c r="M5" s="2721"/>
      <c r="N5" s="2721"/>
      <c r="O5" s="2722"/>
      <c r="S5" s="989"/>
    </row>
    <row r="6" spans="1:21" ht="15" customHeight="1" x14ac:dyDescent="0.2">
      <c r="A6" s="2723" t="s">
        <v>1775</v>
      </c>
      <c r="B6" s="2724"/>
      <c r="C6" s="2725" t="s">
        <v>1776</v>
      </c>
      <c r="D6" s="2725"/>
      <c r="E6" s="2725"/>
      <c r="F6" s="2725"/>
      <c r="G6" s="2725"/>
      <c r="H6" s="2725"/>
      <c r="I6" s="2725"/>
      <c r="J6" s="1553" t="s">
        <v>2310</v>
      </c>
      <c r="K6" s="990">
        <v>10</v>
      </c>
      <c r="L6" s="990" t="s">
        <v>1777</v>
      </c>
      <c r="M6" s="991">
        <v>3</v>
      </c>
      <c r="N6" s="2059">
        <f>ROUND(236*(1-D76),2)</f>
        <v>236</v>
      </c>
      <c r="O6" s="1707">
        <f>N6*3</f>
        <v>708</v>
      </c>
      <c r="S6" s="992"/>
    </row>
    <row r="7" spans="1:21" ht="12.75" x14ac:dyDescent="0.2">
      <c r="A7" s="2726" t="s">
        <v>2302</v>
      </c>
      <c r="B7" s="2726"/>
      <c r="C7" s="2726"/>
      <c r="D7" s="2726"/>
      <c r="E7" s="2726"/>
      <c r="F7" s="2726"/>
      <c r="G7" s="2726"/>
      <c r="H7" s="2726"/>
      <c r="I7" s="2726"/>
      <c r="J7" s="2726"/>
      <c r="K7" s="2726"/>
      <c r="L7" s="2726"/>
      <c r="M7" s="2726"/>
      <c r="N7" s="2726"/>
      <c r="O7" s="2726"/>
      <c r="S7" s="992"/>
    </row>
    <row r="8" spans="1:21" ht="14.25" customHeight="1" x14ac:dyDescent="0.2">
      <c r="A8" s="2725" t="s">
        <v>1778</v>
      </c>
      <c r="B8" s="2725"/>
      <c r="C8" s="2725" t="s">
        <v>1779</v>
      </c>
      <c r="D8" s="2725"/>
      <c r="E8" s="2725"/>
      <c r="F8" s="2725"/>
      <c r="G8" s="2725"/>
      <c r="H8" s="2725"/>
      <c r="I8" s="2725"/>
      <c r="J8" s="1554" t="s">
        <v>1823</v>
      </c>
      <c r="K8" s="990">
        <v>20</v>
      </c>
      <c r="L8" s="990" t="s">
        <v>1780</v>
      </c>
      <c r="M8" s="991">
        <v>7</v>
      </c>
      <c r="N8" s="2059">
        <f>ROUND(267*(1-D77),2)</f>
        <v>267</v>
      </c>
      <c r="O8" s="2060">
        <f>N8*2</f>
        <v>534</v>
      </c>
      <c r="S8" s="992"/>
    </row>
    <row r="9" spans="1:21" ht="12.75" customHeight="1" x14ac:dyDescent="0.2">
      <c r="A9" s="2733" t="s">
        <v>2303</v>
      </c>
      <c r="B9" s="2733"/>
      <c r="C9" s="2733"/>
      <c r="D9" s="2733"/>
      <c r="E9" s="2733"/>
      <c r="F9" s="2733"/>
      <c r="G9" s="2733"/>
      <c r="H9" s="2733"/>
      <c r="I9" s="2733"/>
      <c r="J9" s="2733"/>
      <c r="K9" s="2733"/>
      <c r="L9" s="2733"/>
      <c r="M9" s="2733"/>
      <c r="N9" s="2733"/>
      <c r="O9" s="2733"/>
      <c r="S9" s="992"/>
    </row>
    <row r="10" spans="1:21" ht="17.25" customHeight="1" x14ac:dyDescent="0.2">
      <c r="A10" s="2725" t="s">
        <v>1781</v>
      </c>
      <c r="B10" s="2725"/>
      <c r="C10" s="2725" t="s">
        <v>1838</v>
      </c>
      <c r="D10" s="2725"/>
      <c r="E10" s="2725"/>
      <c r="F10" s="2725"/>
      <c r="G10" s="2725"/>
      <c r="H10" s="2725"/>
      <c r="I10" s="2725"/>
      <c r="J10" s="1554" t="s">
        <v>1823</v>
      </c>
      <c r="K10" s="990">
        <v>35</v>
      </c>
      <c r="L10" s="990" t="s">
        <v>1782</v>
      </c>
      <c r="M10" s="991">
        <v>7</v>
      </c>
      <c r="N10" s="2059">
        <f>ROUND(427*(1-D78),2)</f>
        <v>427</v>
      </c>
      <c r="O10" s="2060">
        <f>N10*2.6</f>
        <v>1110.2</v>
      </c>
      <c r="S10" s="992"/>
    </row>
    <row r="11" spans="1:21" ht="12.75" customHeight="1" x14ac:dyDescent="0.2">
      <c r="A11" s="2720" t="s">
        <v>2304</v>
      </c>
      <c r="B11" s="2721"/>
      <c r="C11" s="2721"/>
      <c r="D11" s="2721"/>
      <c r="E11" s="2721"/>
      <c r="F11" s="2721"/>
      <c r="G11" s="2721"/>
      <c r="H11" s="2721"/>
      <c r="I11" s="2721"/>
      <c r="J11" s="2721"/>
      <c r="K11" s="2721"/>
      <c r="L11" s="2721"/>
      <c r="M11" s="2721"/>
      <c r="N11" s="2721"/>
      <c r="O11" s="2722"/>
      <c r="S11" s="992"/>
    </row>
    <row r="12" spans="1:21" ht="16.5" customHeight="1" x14ac:dyDescent="0.2">
      <c r="A12" s="2725" t="s">
        <v>1783</v>
      </c>
      <c r="B12" s="2725"/>
      <c r="C12" s="2734" t="s">
        <v>1784</v>
      </c>
      <c r="D12" s="2734"/>
      <c r="E12" s="2734"/>
      <c r="F12" s="2734"/>
      <c r="G12" s="2734"/>
      <c r="H12" s="2734"/>
      <c r="I12" s="2734"/>
      <c r="J12" s="2735" t="s">
        <v>2310</v>
      </c>
      <c r="K12" s="2738">
        <v>15</v>
      </c>
      <c r="L12" s="990" t="s">
        <v>1777</v>
      </c>
      <c r="M12" s="991">
        <v>3</v>
      </c>
      <c r="N12" s="2059">
        <f>ROUND(428*(1-D79),2)</f>
        <v>428</v>
      </c>
      <c r="O12" s="1707">
        <f>N12*3</f>
        <v>1284</v>
      </c>
      <c r="S12" s="992"/>
    </row>
    <row r="13" spans="1:21" ht="25.5" customHeight="1" x14ac:dyDescent="0.2">
      <c r="A13" s="2725" t="s">
        <v>1785</v>
      </c>
      <c r="B13" s="2725"/>
      <c r="C13" s="2725" t="s">
        <v>1786</v>
      </c>
      <c r="D13" s="2725"/>
      <c r="E13" s="2725"/>
      <c r="F13" s="2725"/>
      <c r="G13" s="2725"/>
      <c r="H13" s="2725"/>
      <c r="I13" s="2725"/>
      <c r="J13" s="2736"/>
      <c r="K13" s="2739"/>
      <c r="L13" s="990" t="s">
        <v>1777</v>
      </c>
      <c r="M13" s="991">
        <v>4</v>
      </c>
      <c r="N13" s="2059">
        <f>ROUND(428*(1-D79),2)</f>
        <v>428</v>
      </c>
      <c r="O13" s="1707">
        <f>N13*3</f>
        <v>1284</v>
      </c>
      <c r="S13" s="992"/>
    </row>
    <row r="14" spans="1:21" ht="15" customHeight="1" x14ac:dyDescent="0.2">
      <c r="A14" s="2725" t="s">
        <v>1787</v>
      </c>
      <c r="B14" s="2725"/>
      <c r="C14" s="2725" t="s">
        <v>1788</v>
      </c>
      <c r="D14" s="2725"/>
      <c r="E14" s="2725"/>
      <c r="F14" s="2725"/>
      <c r="G14" s="2725"/>
      <c r="H14" s="2725"/>
      <c r="I14" s="2725"/>
      <c r="J14" s="2736"/>
      <c r="K14" s="2739"/>
      <c r="L14" s="990" t="s">
        <v>1777</v>
      </c>
      <c r="M14" s="991">
        <v>1</v>
      </c>
      <c r="N14" s="2059">
        <f>ROUND(471*(1-D79),2)</f>
        <v>471</v>
      </c>
      <c r="O14" s="1707">
        <f>N14*3</f>
        <v>1413</v>
      </c>
      <c r="S14" s="992"/>
    </row>
    <row r="15" spans="1:21" ht="16.5" customHeight="1" x14ac:dyDescent="0.2">
      <c r="A15" s="2725" t="s">
        <v>1789</v>
      </c>
      <c r="B15" s="2725"/>
      <c r="C15" s="2725" t="s">
        <v>1790</v>
      </c>
      <c r="D15" s="2725"/>
      <c r="E15" s="2725"/>
      <c r="F15" s="2725"/>
      <c r="G15" s="2725"/>
      <c r="H15" s="2725"/>
      <c r="I15" s="2725"/>
      <c r="J15" s="2737"/>
      <c r="K15" s="2740"/>
      <c r="L15" s="990" t="s">
        <v>1777</v>
      </c>
      <c r="M15" s="991">
        <v>5</v>
      </c>
      <c r="N15" s="2059">
        <f>ROUND(471*(1-D79),2)</f>
        <v>471</v>
      </c>
      <c r="O15" s="1707">
        <f>N15*3</f>
        <v>1413</v>
      </c>
      <c r="S15" s="992"/>
    </row>
    <row r="16" spans="1:21" ht="12.75" customHeight="1" x14ac:dyDescent="0.2">
      <c r="A16" s="2720" t="s">
        <v>2305</v>
      </c>
      <c r="B16" s="2721"/>
      <c r="C16" s="2721"/>
      <c r="D16" s="2721"/>
      <c r="E16" s="2721"/>
      <c r="F16" s="2721"/>
      <c r="G16" s="2721"/>
      <c r="H16" s="2721"/>
      <c r="I16" s="2721"/>
      <c r="J16" s="2721"/>
      <c r="K16" s="2721"/>
      <c r="L16" s="2721"/>
      <c r="M16" s="2721"/>
      <c r="N16" s="2721"/>
      <c r="O16" s="2722"/>
      <c r="S16" s="992"/>
    </row>
    <row r="17" spans="1:19" ht="15.75" customHeight="1" x14ac:dyDescent="0.2">
      <c r="A17" s="2725" t="s">
        <v>1791</v>
      </c>
      <c r="B17" s="2725"/>
      <c r="C17" s="2725" t="s">
        <v>1792</v>
      </c>
      <c r="D17" s="2725"/>
      <c r="E17" s="2725"/>
      <c r="F17" s="2725"/>
      <c r="G17" s="2725"/>
      <c r="H17" s="2725"/>
      <c r="I17" s="2725"/>
      <c r="J17" s="2741" t="s">
        <v>1824</v>
      </c>
      <c r="K17" s="2744">
        <v>25</v>
      </c>
      <c r="L17" s="990" t="s">
        <v>1777</v>
      </c>
      <c r="M17" s="991">
        <v>3</v>
      </c>
      <c r="N17" s="2059">
        <f>ROUND(546*(1-D80),2)</f>
        <v>546</v>
      </c>
      <c r="O17" s="1707">
        <f>N17*3</f>
        <v>1638</v>
      </c>
      <c r="S17" s="992"/>
    </row>
    <row r="18" spans="1:19" ht="15.75" customHeight="1" x14ac:dyDescent="0.2">
      <c r="A18" s="2747" t="s">
        <v>1793</v>
      </c>
      <c r="B18" s="2748"/>
      <c r="C18" s="2725" t="s">
        <v>1794</v>
      </c>
      <c r="D18" s="2725"/>
      <c r="E18" s="2725"/>
      <c r="F18" s="2725"/>
      <c r="G18" s="2725"/>
      <c r="H18" s="2725"/>
      <c r="I18" s="2725"/>
      <c r="J18" s="2742"/>
      <c r="K18" s="2745"/>
      <c r="L18" s="990" t="s">
        <v>1777</v>
      </c>
      <c r="M18" s="991">
        <v>4</v>
      </c>
      <c r="N18" s="2059">
        <f>ROUND(572*(1-D80),2)</f>
        <v>572</v>
      </c>
      <c r="O18" s="1707">
        <f>N18*3</f>
        <v>1716</v>
      </c>
      <c r="S18" s="992"/>
    </row>
    <row r="19" spans="1:19" ht="15" customHeight="1" x14ac:dyDescent="0.2">
      <c r="A19" s="2749"/>
      <c r="B19" s="2750"/>
      <c r="C19" s="2725" t="s">
        <v>1795</v>
      </c>
      <c r="D19" s="2725"/>
      <c r="E19" s="2725"/>
      <c r="F19" s="2725"/>
      <c r="G19" s="2725"/>
      <c r="H19" s="2725"/>
      <c r="I19" s="2725"/>
      <c r="J19" s="2742"/>
      <c r="K19" s="2745"/>
      <c r="L19" s="990" t="s">
        <v>1777</v>
      </c>
      <c r="M19" s="991">
        <v>4</v>
      </c>
      <c r="N19" s="2059">
        <f>ROUND(652*(1-D80),2)</f>
        <v>652</v>
      </c>
      <c r="O19" s="1707">
        <f>N19*3</f>
        <v>1956</v>
      </c>
      <c r="S19" s="992"/>
    </row>
    <row r="20" spans="1:19" ht="15.75" customHeight="1" x14ac:dyDescent="0.2">
      <c r="A20" s="2725" t="s">
        <v>1796</v>
      </c>
      <c r="B20" s="2725"/>
      <c r="C20" s="2725" t="s">
        <v>1797</v>
      </c>
      <c r="D20" s="2725"/>
      <c r="E20" s="2725"/>
      <c r="F20" s="2725"/>
      <c r="G20" s="2725"/>
      <c r="H20" s="2725"/>
      <c r="I20" s="2725"/>
      <c r="J20" s="2743"/>
      <c r="K20" s="2746"/>
      <c r="L20" s="990" t="s">
        <v>1777</v>
      </c>
      <c r="M20" s="991">
        <v>4</v>
      </c>
      <c r="N20" s="2059">
        <f>ROUND(641*(1-D80),2)</f>
        <v>641</v>
      </c>
      <c r="O20" s="1707">
        <f>N20*3</f>
        <v>1923</v>
      </c>
      <c r="S20" s="992"/>
    </row>
    <row r="21" spans="1:19" ht="12.75" customHeight="1" x14ac:dyDescent="0.2">
      <c r="A21" s="2733" t="s">
        <v>2306</v>
      </c>
      <c r="B21" s="2733"/>
      <c r="C21" s="2733"/>
      <c r="D21" s="2733"/>
      <c r="E21" s="2733"/>
      <c r="F21" s="2733"/>
      <c r="G21" s="2733"/>
      <c r="H21" s="2733"/>
      <c r="I21" s="2733"/>
      <c r="J21" s="2733"/>
      <c r="K21" s="2733"/>
      <c r="L21" s="2733"/>
      <c r="M21" s="2733"/>
      <c r="N21" s="2733"/>
      <c r="O21" s="2733"/>
      <c r="S21" s="992"/>
    </row>
    <row r="22" spans="1:19" ht="24.75" customHeight="1" x14ac:dyDescent="0.2">
      <c r="A22" s="2725" t="s">
        <v>1798</v>
      </c>
      <c r="B22" s="2725"/>
      <c r="C22" s="2725" t="s">
        <v>1839</v>
      </c>
      <c r="D22" s="2725"/>
      <c r="E22" s="2725"/>
      <c r="F22" s="2725"/>
      <c r="G22" s="2725"/>
      <c r="H22" s="2725"/>
      <c r="I22" s="2725"/>
      <c r="J22" s="1549" t="s">
        <v>2311</v>
      </c>
      <c r="K22" s="990">
        <v>50</v>
      </c>
      <c r="L22" s="990" t="s">
        <v>1780</v>
      </c>
      <c r="M22" s="991">
        <v>7</v>
      </c>
      <c r="N22" s="2059">
        <f>ROUND(643*(1-D81),2)</f>
        <v>643</v>
      </c>
      <c r="O22" s="1707">
        <f>N22*2</f>
        <v>1286</v>
      </c>
      <c r="S22" s="992"/>
    </row>
    <row r="23" spans="1:19" ht="12.75" x14ac:dyDescent="0.2">
      <c r="A23" s="2726" t="s">
        <v>2307</v>
      </c>
      <c r="B23" s="2726"/>
      <c r="C23" s="2726"/>
      <c r="D23" s="2726"/>
      <c r="E23" s="2726"/>
      <c r="F23" s="2726"/>
      <c r="G23" s="2726"/>
      <c r="H23" s="2726"/>
      <c r="I23" s="2726"/>
      <c r="J23" s="2726"/>
      <c r="K23" s="2726"/>
      <c r="L23" s="2726"/>
      <c r="M23" s="2726"/>
      <c r="N23" s="2726"/>
      <c r="O23" s="2726"/>
      <c r="S23" s="992"/>
    </row>
    <row r="24" spans="1:19" ht="15.75" customHeight="1" x14ac:dyDescent="0.2">
      <c r="A24" s="2725" t="s">
        <v>1799</v>
      </c>
      <c r="B24" s="2725"/>
      <c r="C24" s="2725" t="s">
        <v>1800</v>
      </c>
      <c r="D24" s="2725"/>
      <c r="E24" s="2725"/>
      <c r="F24" s="2725"/>
      <c r="G24" s="2725"/>
      <c r="H24" s="2725"/>
      <c r="I24" s="2725"/>
      <c r="J24" s="1549" t="s">
        <v>2311</v>
      </c>
      <c r="K24" s="990">
        <v>55</v>
      </c>
      <c r="L24" s="990" t="s">
        <v>1801</v>
      </c>
      <c r="M24" s="991">
        <v>6</v>
      </c>
      <c r="N24" s="2059">
        <f>ROUND(1092*(1-D82),2)</f>
        <v>1092</v>
      </c>
      <c r="O24" s="2060">
        <f>N24*1.5</f>
        <v>1638</v>
      </c>
      <c r="S24" s="992"/>
    </row>
    <row r="25" spans="1:19" ht="12.75" x14ac:dyDescent="0.2">
      <c r="A25" s="2726" t="s">
        <v>2308</v>
      </c>
      <c r="B25" s="2726"/>
      <c r="C25" s="2726"/>
      <c r="D25" s="2726"/>
      <c r="E25" s="2726"/>
      <c r="F25" s="2726"/>
      <c r="G25" s="2726"/>
      <c r="H25" s="2726"/>
      <c r="I25" s="2726"/>
      <c r="J25" s="2726"/>
      <c r="K25" s="2726"/>
      <c r="L25" s="2726"/>
      <c r="M25" s="2726"/>
      <c r="N25" s="2726"/>
      <c r="O25" s="2726"/>
      <c r="S25" s="992"/>
    </row>
    <row r="26" spans="1:19" ht="17.25" customHeight="1" x14ac:dyDescent="0.2">
      <c r="A26" s="2725" t="s">
        <v>1802</v>
      </c>
      <c r="B26" s="2725"/>
      <c r="C26" s="2725" t="s">
        <v>1803</v>
      </c>
      <c r="D26" s="2725"/>
      <c r="E26" s="2725"/>
      <c r="F26" s="2725"/>
      <c r="G26" s="2725"/>
      <c r="H26" s="2725"/>
      <c r="I26" s="2725"/>
      <c r="J26" s="1549" t="s">
        <v>2312</v>
      </c>
      <c r="K26" s="990">
        <v>60</v>
      </c>
      <c r="L26" s="990" t="s">
        <v>1801</v>
      </c>
      <c r="M26" s="1707">
        <v>2</v>
      </c>
      <c r="N26" s="2059">
        <f>ROUND(1577*(1-D83),2)</f>
        <v>1577</v>
      </c>
      <c r="O26" s="2060">
        <f>N26*1.5</f>
        <v>2365.5</v>
      </c>
      <c r="S26" s="992"/>
    </row>
    <row r="27" spans="1:19" ht="12" customHeight="1" x14ac:dyDescent="0.2">
      <c r="A27" s="993"/>
      <c r="C27" s="993"/>
      <c r="D27" s="993"/>
      <c r="E27" s="993"/>
      <c r="F27" s="993"/>
      <c r="G27" s="993"/>
      <c r="H27" s="993"/>
      <c r="I27" s="993"/>
      <c r="J27" s="993"/>
      <c r="K27" s="993"/>
      <c r="L27" s="993"/>
      <c r="M27" s="993"/>
      <c r="N27" s="993"/>
      <c r="O27" s="993"/>
      <c r="Q27" s="989"/>
      <c r="R27" s="989"/>
    </row>
    <row r="28" spans="1:19" s="994" customFormat="1" ht="12" customHeight="1" x14ac:dyDescent="0.2">
      <c r="Q28" s="995"/>
      <c r="R28" s="995"/>
    </row>
    <row r="29" spans="1:19" ht="12" customHeight="1" x14ac:dyDescent="0.2">
      <c r="A29" s="993" t="s">
        <v>1805</v>
      </c>
      <c r="C29" s="993"/>
      <c r="D29" s="993"/>
      <c r="E29" s="993"/>
      <c r="F29" s="993"/>
      <c r="G29" s="993"/>
      <c r="H29" s="993"/>
      <c r="I29" s="993"/>
      <c r="J29" s="993"/>
      <c r="K29" s="993"/>
      <c r="L29" s="993"/>
      <c r="M29" s="993"/>
      <c r="N29" s="993"/>
      <c r="O29" s="993"/>
      <c r="Q29" s="989"/>
      <c r="R29" s="989"/>
    </row>
    <row r="30" spans="1:19" s="996" customFormat="1" ht="15" customHeight="1" x14ac:dyDescent="0.2">
      <c r="B30" s="997"/>
      <c r="C30" s="997"/>
      <c r="D30" s="997"/>
      <c r="E30" s="997"/>
      <c r="F30" s="997"/>
      <c r="G30" s="997"/>
      <c r="H30" s="997"/>
      <c r="I30" s="997"/>
      <c r="J30" s="997"/>
      <c r="K30" s="997"/>
      <c r="L30" s="997"/>
      <c r="M30" s="997"/>
      <c r="N30" s="997"/>
      <c r="O30" s="997"/>
      <c r="Q30" s="998"/>
      <c r="R30" s="998"/>
    </row>
    <row r="31" spans="1:19" s="996" customFormat="1" ht="15" customHeight="1" x14ac:dyDescent="0.45">
      <c r="B31" s="997"/>
      <c r="C31" s="997"/>
      <c r="D31" s="997"/>
      <c r="E31" s="997"/>
      <c r="F31" s="997"/>
      <c r="G31" s="997"/>
      <c r="H31" s="997"/>
      <c r="I31" s="997"/>
      <c r="J31" s="997"/>
      <c r="K31" s="997"/>
      <c r="L31" s="997"/>
      <c r="M31" s="997"/>
      <c r="N31" s="997"/>
      <c r="O31" s="997"/>
      <c r="P31" s="999">
        <v>6</v>
      </c>
      <c r="Q31" s="998"/>
      <c r="R31" s="998"/>
    </row>
    <row r="32" spans="1:19" s="996" customFormat="1" ht="15" customHeight="1" x14ac:dyDescent="0.2">
      <c r="B32" s="997"/>
      <c r="C32" s="997"/>
      <c r="D32" s="997"/>
      <c r="E32" s="997"/>
      <c r="F32" s="997"/>
      <c r="G32" s="997"/>
      <c r="H32" s="997"/>
      <c r="I32" s="997"/>
      <c r="J32" s="997"/>
      <c r="K32" s="997"/>
      <c r="L32" s="997"/>
      <c r="M32" s="997"/>
      <c r="N32" s="997"/>
      <c r="O32" s="997"/>
      <c r="Q32" s="998"/>
      <c r="R32" s="998"/>
    </row>
    <row r="33" spans="1:18" s="996" customFormat="1" ht="15" customHeight="1" x14ac:dyDescent="0.2">
      <c r="B33" s="997"/>
      <c r="C33" s="997"/>
      <c r="D33" s="997"/>
      <c r="E33" s="997"/>
      <c r="F33" s="997"/>
      <c r="G33" s="997"/>
      <c r="H33" s="997"/>
      <c r="I33" s="997"/>
      <c r="J33" s="997"/>
      <c r="K33" s="997"/>
      <c r="L33" s="997"/>
      <c r="M33" s="997"/>
      <c r="N33" s="997"/>
      <c r="O33" s="997"/>
      <c r="Q33" s="998"/>
      <c r="R33" s="998"/>
    </row>
    <row r="34" spans="1:18" s="996" customFormat="1" ht="15" customHeight="1" x14ac:dyDescent="0.2">
      <c r="B34" s="997"/>
      <c r="C34" s="997"/>
      <c r="D34" s="997"/>
      <c r="E34" s="997"/>
      <c r="F34" s="997"/>
      <c r="G34" s="997"/>
      <c r="H34" s="997"/>
      <c r="I34" s="997"/>
      <c r="J34" s="997"/>
      <c r="K34" s="997"/>
      <c r="L34" s="997"/>
      <c r="M34" s="997"/>
      <c r="N34" s="997"/>
      <c r="O34" s="997"/>
      <c r="Q34" s="998"/>
      <c r="R34" s="998"/>
    </row>
    <row r="35" spans="1:18" s="996" customFormat="1" ht="15" customHeight="1" x14ac:dyDescent="0.2">
      <c r="B35" s="997"/>
      <c r="C35" s="997"/>
      <c r="D35" s="997"/>
      <c r="E35" s="997"/>
      <c r="F35" s="997"/>
      <c r="G35" s="997"/>
      <c r="H35" s="997"/>
      <c r="I35" s="997"/>
      <c r="J35" s="997"/>
      <c r="K35" s="997"/>
      <c r="L35" s="997"/>
      <c r="M35" s="997"/>
      <c r="N35" s="997"/>
      <c r="O35" s="997"/>
      <c r="Q35" s="998"/>
      <c r="R35" s="998"/>
    </row>
    <row r="36" spans="1:18" s="1001" customFormat="1" ht="15" customHeight="1" x14ac:dyDescent="0.25">
      <c r="A36" s="2767" t="s">
        <v>1806</v>
      </c>
      <c r="B36" s="2767"/>
      <c r="C36" s="2767"/>
      <c r="D36" s="2767"/>
      <c r="E36" s="2767"/>
      <c r="F36" s="2767"/>
      <c r="G36" s="2767"/>
      <c r="H36" s="2767"/>
      <c r="I36" s="2767"/>
      <c r="J36" s="2767"/>
      <c r="K36" s="2767"/>
      <c r="L36" s="2767"/>
      <c r="M36" s="2767"/>
      <c r="N36" s="2767"/>
      <c r="O36" s="2767"/>
      <c r="P36" s="1000"/>
      <c r="Q36" s="1000"/>
      <c r="R36" s="1000"/>
    </row>
    <row r="37" spans="1:18" ht="12.75" customHeight="1" x14ac:dyDescent="0.2">
      <c r="A37" s="2768" t="s">
        <v>399</v>
      </c>
      <c r="B37" s="2768"/>
      <c r="C37" s="2768" t="s">
        <v>291</v>
      </c>
      <c r="D37" s="2768"/>
      <c r="E37" s="2768"/>
      <c r="F37" s="2768"/>
      <c r="G37" s="2768"/>
      <c r="H37" s="2768"/>
      <c r="I37" s="2768"/>
      <c r="J37" s="2768"/>
      <c r="K37" s="2768" t="s">
        <v>802</v>
      </c>
      <c r="L37" s="2768"/>
      <c r="M37" s="2768" t="s">
        <v>104</v>
      </c>
      <c r="N37" s="2768" t="s">
        <v>295</v>
      </c>
      <c r="O37" s="2768"/>
    </row>
    <row r="38" spans="1:18" ht="17.25" customHeight="1" x14ac:dyDescent="0.2">
      <c r="A38" s="2768"/>
      <c r="B38" s="2768"/>
      <c r="C38" s="2768"/>
      <c r="D38" s="2768"/>
      <c r="E38" s="2768"/>
      <c r="F38" s="2768"/>
      <c r="G38" s="2768"/>
      <c r="H38" s="2768"/>
      <c r="I38" s="2768"/>
      <c r="J38" s="2768"/>
      <c r="K38" s="2768"/>
      <c r="L38" s="2768"/>
      <c r="M38" s="2768"/>
      <c r="N38" s="987" t="s">
        <v>1773</v>
      </c>
      <c r="O38" s="988" t="s">
        <v>1774</v>
      </c>
    </row>
    <row r="39" spans="1:18" ht="24.75" customHeight="1" x14ac:dyDescent="0.2">
      <c r="A39" s="2751" t="s">
        <v>2840</v>
      </c>
      <c r="B39" s="2751"/>
      <c r="C39" s="2752" t="s">
        <v>2848</v>
      </c>
      <c r="D39" s="2752"/>
      <c r="E39" s="2752"/>
      <c r="F39" s="2752"/>
      <c r="G39" s="2752"/>
      <c r="H39" s="2752"/>
      <c r="I39" s="2752"/>
      <c r="J39" s="2752"/>
      <c r="K39" s="2752" t="s">
        <v>136</v>
      </c>
      <c r="L39" s="2752"/>
      <c r="M39" s="1844" t="s">
        <v>1808</v>
      </c>
      <c r="N39" s="2050">
        <v>485</v>
      </c>
      <c r="O39" s="2050">
        <f>N39*3</f>
        <v>1455</v>
      </c>
    </row>
    <row r="40" spans="1:18" ht="19.5" customHeight="1" x14ac:dyDescent="0.2">
      <c r="A40" s="2763" t="s">
        <v>2841</v>
      </c>
      <c r="B40" s="2764"/>
      <c r="C40" s="2754" t="s">
        <v>1807</v>
      </c>
      <c r="D40" s="2754"/>
      <c r="E40" s="2754"/>
      <c r="F40" s="2754"/>
      <c r="G40" s="2754"/>
      <c r="H40" s="2754"/>
      <c r="I40" s="2754"/>
      <c r="J40" s="2754"/>
      <c r="K40" s="2754" t="s">
        <v>136</v>
      </c>
      <c r="L40" s="2754"/>
      <c r="M40" s="2754" t="s">
        <v>1808</v>
      </c>
      <c r="N40" s="2050">
        <f>ROUND(485*(1-K76),2)</f>
        <v>485</v>
      </c>
      <c r="O40" s="2050">
        <f>N40*5</f>
        <v>2425</v>
      </c>
    </row>
    <row r="41" spans="1:18" ht="18" customHeight="1" x14ac:dyDescent="0.2">
      <c r="A41" s="2765"/>
      <c r="B41" s="2766"/>
      <c r="C41" s="2754"/>
      <c r="D41" s="2754"/>
      <c r="E41" s="2754"/>
      <c r="F41" s="2754"/>
      <c r="G41" s="2754"/>
      <c r="H41" s="2754"/>
      <c r="I41" s="2754"/>
      <c r="J41" s="2754"/>
      <c r="K41" s="2754" t="s">
        <v>1795</v>
      </c>
      <c r="L41" s="2754"/>
      <c r="M41" s="2754"/>
      <c r="N41" s="2050">
        <f>ROUND(565*(1-K76),2)</f>
        <v>565</v>
      </c>
      <c r="O41" s="2050">
        <f>N41*5</f>
        <v>2825</v>
      </c>
    </row>
    <row r="42" spans="1:18" ht="16.5" customHeight="1" x14ac:dyDescent="0.2">
      <c r="A42" s="2792" t="s">
        <v>1809</v>
      </c>
      <c r="B42" s="2792"/>
      <c r="C42" s="2754" t="s">
        <v>1810</v>
      </c>
      <c r="D42" s="2754"/>
      <c r="E42" s="2754"/>
      <c r="F42" s="2754"/>
      <c r="G42" s="2754"/>
      <c r="H42" s="2754"/>
      <c r="I42" s="2754"/>
      <c r="J42" s="2754"/>
      <c r="K42" s="2796" t="s">
        <v>136</v>
      </c>
      <c r="L42" s="2797"/>
      <c r="M42" s="2807" t="s">
        <v>1808</v>
      </c>
      <c r="N42" s="2050">
        <f>ROUND(409*(1-K76),2)</f>
        <v>409</v>
      </c>
      <c r="O42" s="2050">
        <f>N42*10</f>
        <v>4090</v>
      </c>
    </row>
    <row r="43" spans="1:18" ht="17.25" customHeight="1" x14ac:dyDescent="0.2">
      <c r="A43" s="2792"/>
      <c r="B43" s="2792"/>
      <c r="C43" s="2754"/>
      <c r="D43" s="2754"/>
      <c r="E43" s="2754"/>
      <c r="F43" s="2754"/>
      <c r="G43" s="2754"/>
      <c r="H43" s="2754"/>
      <c r="I43" s="2754"/>
      <c r="J43" s="2754"/>
      <c r="K43" s="2796" t="s">
        <v>1795</v>
      </c>
      <c r="L43" s="2797"/>
      <c r="M43" s="2808"/>
      <c r="N43" s="2050">
        <f>ROUND(548*(1-K76),2)</f>
        <v>548</v>
      </c>
      <c r="O43" s="2050">
        <f>N43*10</f>
        <v>5480</v>
      </c>
    </row>
    <row r="44" spans="1:18" ht="27" customHeight="1" x14ac:dyDescent="0.2">
      <c r="A44" s="2792" t="s">
        <v>1811</v>
      </c>
      <c r="B44" s="2792"/>
      <c r="C44" s="2798" t="s">
        <v>1812</v>
      </c>
      <c r="D44" s="2798"/>
      <c r="E44" s="2798"/>
      <c r="F44" s="2798"/>
      <c r="G44" s="2798"/>
      <c r="H44" s="2798"/>
      <c r="I44" s="2798"/>
      <c r="J44" s="2798"/>
      <c r="K44" s="2754" t="s">
        <v>17</v>
      </c>
      <c r="L44" s="2754"/>
      <c r="M44" s="1002" t="s">
        <v>805</v>
      </c>
      <c r="N44" s="1708">
        <f>ROUND(185*(1-K76),2)</f>
        <v>185</v>
      </c>
      <c r="O44" s="1708">
        <f>N44*15</f>
        <v>2775</v>
      </c>
    </row>
    <row r="45" spans="1:18" ht="24" customHeight="1" x14ac:dyDescent="0.2">
      <c r="A45" s="2755" t="s">
        <v>2519</v>
      </c>
      <c r="B45" s="2755"/>
      <c r="C45" s="2793" t="s">
        <v>1813</v>
      </c>
      <c r="D45" s="2794"/>
      <c r="E45" s="2794"/>
      <c r="F45" s="2794"/>
      <c r="G45" s="2794"/>
      <c r="H45" s="2794"/>
      <c r="I45" s="2794"/>
      <c r="J45" s="2795"/>
      <c r="K45" s="2754" t="s">
        <v>1814</v>
      </c>
      <c r="L45" s="2754"/>
      <c r="M45" s="1843" t="s">
        <v>805</v>
      </c>
      <c r="N45" s="1845">
        <f>ROUND(107*(1-K76),2)</f>
        <v>107</v>
      </c>
      <c r="O45" s="1845">
        <f>N45*40</f>
        <v>4280</v>
      </c>
    </row>
    <row r="46" spans="1:18" ht="24" customHeight="1" x14ac:dyDescent="0.2">
      <c r="A46" s="2814" t="s">
        <v>2842</v>
      </c>
      <c r="B46" s="2815"/>
      <c r="C46" s="2760" t="s">
        <v>2843</v>
      </c>
      <c r="D46" s="2761"/>
      <c r="E46" s="2761"/>
      <c r="F46" s="2761"/>
      <c r="G46" s="2761"/>
      <c r="H46" s="2761"/>
      <c r="I46" s="2761"/>
      <c r="J46" s="2762"/>
      <c r="K46" s="2771" t="s">
        <v>1814</v>
      </c>
      <c r="L46" s="2772"/>
      <c r="M46" s="1844" t="s">
        <v>805</v>
      </c>
      <c r="N46" s="1845">
        <v>81</v>
      </c>
      <c r="O46" s="1845">
        <f>N46*15</f>
        <v>1215</v>
      </c>
    </row>
    <row r="47" spans="1:18" ht="25.5" customHeight="1" x14ac:dyDescent="0.2">
      <c r="A47" s="2816" t="s">
        <v>2844</v>
      </c>
      <c r="B47" s="2816"/>
      <c r="C47" s="2804" t="s">
        <v>2845</v>
      </c>
      <c r="D47" s="2804"/>
      <c r="E47" s="2804"/>
      <c r="F47" s="2804"/>
      <c r="G47" s="2804"/>
      <c r="H47" s="2804"/>
      <c r="I47" s="2804"/>
      <c r="J47" s="2804"/>
      <c r="K47" s="2752" t="s">
        <v>1814</v>
      </c>
      <c r="L47" s="2752"/>
      <c r="M47" s="1844" t="s">
        <v>805</v>
      </c>
      <c r="N47" s="1845">
        <v>52</v>
      </c>
      <c r="O47" s="1845">
        <f>N47*15</f>
        <v>780</v>
      </c>
    </row>
    <row r="48" spans="1:18" ht="25.5" customHeight="1" x14ac:dyDescent="0.2">
      <c r="A48" s="2755" t="s">
        <v>1817</v>
      </c>
      <c r="B48" s="2755"/>
      <c r="C48" s="2798" t="s">
        <v>1818</v>
      </c>
      <c r="D48" s="2798"/>
      <c r="E48" s="2798"/>
      <c r="F48" s="2798"/>
      <c r="G48" s="2798"/>
      <c r="H48" s="2798"/>
      <c r="I48" s="2798"/>
      <c r="J48" s="2798"/>
      <c r="K48" s="2754" t="s">
        <v>17</v>
      </c>
      <c r="L48" s="2754" t="s">
        <v>17</v>
      </c>
      <c r="M48" s="1002" t="s">
        <v>179</v>
      </c>
      <c r="N48" s="2809">
        <f>ROUND(4360*(1-K78),2)</f>
        <v>4360</v>
      </c>
      <c r="O48" s="2809"/>
    </row>
    <row r="49" spans="1:29" ht="25.5" customHeight="1" x14ac:dyDescent="0.2">
      <c r="A49" s="2802" t="s">
        <v>2846</v>
      </c>
      <c r="B49" s="2802"/>
      <c r="C49" s="2804" t="s">
        <v>2847</v>
      </c>
      <c r="D49" s="2804"/>
      <c r="E49" s="2804"/>
      <c r="F49" s="2804"/>
      <c r="G49" s="2804"/>
      <c r="H49" s="2804"/>
      <c r="I49" s="2804"/>
      <c r="J49" s="2804"/>
      <c r="K49" s="2752" t="s">
        <v>1814</v>
      </c>
      <c r="L49" s="2752"/>
      <c r="M49" s="1844" t="s">
        <v>179</v>
      </c>
      <c r="N49" s="2753">
        <v>348</v>
      </c>
      <c r="O49" s="2753"/>
    </row>
    <row r="50" spans="1:29" ht="26.25" customHeight="1" x14ac:dyDescent="0.2">
      <c r="A50" s="2802" t="s">
        <v>2353</v>
      </c>
      <c r="B50" s="2802"/>
      <c r="C50" s="2804" t="s">
        <v>2354</v>
      </c>
      <c r="D50" s="2804"/>
      <c r="E50" s="2804"/>
      <c r="F50" s="2804"/>
      <c r="G50" s="2804"/>
      <c r="H50" s="2804"/>
      <c r="I50" s="2804"/>
      <c r="J50" s="2804"/>
      <c r="K50" s="2752" t="s">
        <v>806</v>
      </c>
      <c r="L50" s="2752"/>
      <c r="M50" s="1607" t="s">
        <v>179</v>
      </c>
      <c r="N50" s="2753">
        <v>55</v>
      </c>
      <c r="O50" s="2753"/>
    </row>
    <row r="51" spans="1:29" ht="12.75" x14ac:dyDescent="0.2">
      <c r="A51" s="2799" t="s">
        <v>2839</v>
      </c>
      <c r="B51" s="2800"/>
      <c r="C51" s="2800"/>
      <c r="D51" s="2800"/>
      <c r="E51" s="2800"/>
      <c r="F51" s="2800"/>
      <c r="G51" s="2800"/>
      <c r="H51" s="2800"/>
      <c r="I51" s="2800"/>
      <c r="J51" s="2800"/>
      <c r="K51" s="2800"/>
      <c r="L51" s="2800"/>
      <c r="M51" s="2801"/>
      <c r="N51" s="2310" t="s">
        <v>2349</v>
      </c>
      <c r="O51" s="2310" t="s">
        <v>2350</v>
      </c>
    </row>
    <row r="52" spans="1:29" ht="15" customHeight="1" x14ac:dyDescent="0.2">
      <c r="A52" s="2810" t="s">
        <v>2506</v>
      </c>
      <c r="B52" s="2811"/>
      <c r="C52" s="2798" t="s">
        <v>1842</v>
      </c>
      <c r="D52" s="2798"/>
      <c r="E52" s="2798"/>
      <c r="F52" s="2798"/>
      <c r="G52" s="2798"/>
      <c r="H52" s="2798"/>
      <c r="I52" s="2798"/>
      <c r="J52" s="2798"/>
      <c r="K52" s="2754" t="s">
        <v>17</v>
      </c>
      <c r="L52" s="2754"/>
      <c r="M52" s="1591" t="s">
        <v>1816</v>
      </c>
      <c r="N52" s="1708">
        <f>ROUND(188*(1-K76),2)</f>
        <v>188</v>
      </c>
      <c r="O52" s="1708">
        <f>ROUND(677*(1-K76),2)</f>
        <v>677</v>
      </c>
    </row>
    <row r="53" spans="1:29" ht="13.5" customHeight="1" x14ac:dyDescent="0.2">
      <c r="A53" s="2812"/>
      <c r="B53" s="2813"/>
      <c r="C53" s="2798" t="s">
        <v>1841</v>
      </c>
      <c r="D53" s="2798"/>
      <c r="E53" s="2798"/>
      <c r="F53" s="2798"/>
      <c r="G53" s="2798"/>
      <c r="H53" s="2798"/>
      <c r="I53" s="2798"/>
      <c r="J53" s="2798"/>
      <c r="K53" s="2754" t="s">
        <v>17</v>
      </c>
      <c r="L53" s="2754"/>
      <c r="M53" s="1591" t="s">
        <v>1816</v>
      </c>
      <c r="N53" s="1706">
        <f>ROUND(171*(1-K76),2)</f>
        <v>171</v>
      </c>
      <c r="O53" s="1706">
        <f>ROUND(2052*(1-K76),2)</f>
        <v>2052</v>
      </c>
    </row>
    <row r="54" spans="1:29" ht="24.75" customHeight="1" x14ac:dyDescent="0.2">
      <c r="A54" s="2792" t="s">
        <v>2505</v>
      </c>
      <c r="B54" s="2792"/>
      <c r="C54" s="2793" t="s">
        <v>2062</v>
      </c>
      <c r="D54" s="2794"/>
      <c r="E54" s="2794"/>
      <c r="F54" s="2794"/>
      <c r="G54" s="2794"/>
      <c r="H54" s="2794"/>
      <c r="I54" s="2794"/>
      <c r="J54" s="2795"/>
      <c r="K54" s="2796" t="s">
        <v>17</v>
      </c>
      <c r="L54" s="2797"/>
      <c r="M54" s="1689" t="s">
        <v>2504</v>
      </c>
      <c r="N54" s="2805">
        <f>ROUND(125.8*(1-K76),2)</f>
        <v>125.8</v>
      </c>
      <c r="O54" s="2806"/>
    </row>
    <row r="55" spans="1:29" ht="21.75" customHeight="1" x14ac:dyDescent="0.2">
      <c r="A55" s="2803" t="s">
        <v>1735</v>
      </c>
      <c r="B55" s="2803"/>
      <c r="C55" s="2798" t="s">
        <v>1815</v>
      </c>
      <c r="D55" s="2798"/>
      <c r="E55" s="2798"/>
      <c r="F55" s="2798"/>
      <c r="G55" s="2798"/>
      <c r="H55" s="2798"/>
      <c r="I55" s="2798"/>
      <c r="J55" s="2798"/>
      <c r="K55" s="2754" t="s">
        <v>17</v>
      </c>
      <c r="L55" s="2754" t="s">
        <v>17</v>
      </c>
      <c r="M55" s="1002" t="s">
        <v>1816</v>
      </c>
      <c r="N55" s="1537">
        <f>ROUND(173*(1-K76),2)</f>
        <v>173</v>
      </c>
      <c r="O55" s="1537">
        <f>N55*5</f>
        <v>865</v>
      </c>
    </row>
    <row r="56" spans="1:29" ht="12.75" x14ac:dyDescent="0.2">
      <c r="A56" s="2799"/>
      <c r="B56" s="2800"/>
      <c r="C56" s="2800"/>
      <c r="D56" s="2800"/>
      <c r="E56" s="2800"/>
      <c r="F56" s="2800"/>
      <c r="G56" s="2800"/>
      <c r="H56" s="2800"/>
      <c r="I56" s="2800"/>
      <c r="J56" s="2800"/>
      <c r="K56" s="2800"/>
      <c r="L56" s="2800"/>
      <c r="M56" s="2801"/>
      <c r="N56" s="2799"/>
      <c r="O56" s="2801"/>
    </row>
    <row r="57" spans="1:29" ht="24.75" customHeight="1" x14ac:dyDescent="0.2">
      <c r="A57" s="2756" t="s">
        <v>2838</v>
      </c>
      <c r="B57" s="2757"/>
      <c r="C57" s="2760" t="s">
        <v>2458</v>
      </c>
      <c r="D57" s="2761"/>
      <c r="E57" s="2761"/>
      <c r="F57" s="2761"/>
      <c r="G57" s="2761"/>
      <c r="H57" s="2761"/>
      <c r="I57" s="2761"/>
      <c r="J57" s="2762"/>
      <c r="K57" s="2771" t="s">
        <v>17</v>
      </c>
      <c r="L57" s="2772"/>
      <c r="M57" s="1634" t="s">
        <v>179</v>
      </c>
      <c r="N57" s="2769">
        <f>ROUND(535*(1-K76),2)</f>
        <v>535</v>
      </c>
      <c r="O57" s="2770"/>
    </row>
    <row r="58" spans="1:29" ht="24.75" customHeight="1" x14ac:dyDescent="0.2">
      <c r="A58" s="2756" t="s">
        <v>3231</v>
      </c>
      <c r="B58" s="2757"/>
      <c r="C58" s="2760" t="s">
        <v>3232</v>
      </c>
      <c r="D58" s="2761"/>
      <c r="E58" s="2761"/>
      <c r="F58" s="2761"/>
      <c r="G58" s="2761"/>
      <c r="H58" s="2761"/>
      <c r="I58" s="2761"/>
      <c r="J58" s="2762"/>
      <c r="K58" s="2758" t="s">
        <v>17</v>
      </c>
      <c r="L58" s="2759"/>
      <c r="M58" s="2227" t="s">
        <v>179</v>
      </c>
      <c r="N58" s="2785">
        <v>150</v>
      </c>
      <c r="O58" s="2786"/>
    </row>
    <row r="59" spans="1:29" x14ac:dyDescent="0.2">
      <c r="A59" s="1003" t="s">
        <v>1819</v>
      </c>
      <c r="C59" s="1003"/>
      <c r="D59" s="1003"/>
      <c r="E59" s="1003"/>
      <c r="F59" s="1003"/>
      <c r="G59" s="1003"/>
      <c r="H59" s="1003"/>
      <c r="I59" s="1003"/>
      <c r="J59" s="1003"/>
      <c r="K59" s="1003"/>
      <c r="L59" s="1003"/>
      <c r="M59" s="1003"/>
      <c r="N59" s="1003"/>
      <c r="O59" s="1003"/>
      <c r="P59" s="1004"/>
      <c r="Q59" s="1004"/>
      <c r="R59" s="1004"/>
      <c r="S59" s="996"/>
      <c r="T59" s="996"/>
      <c r="U59" s="996"/>
      <c r="V59" s="996"/>
      <c r="W59" s="996"/>
      <c r="X59" s="996"/>
      <c r="Y59" s="996"/>
      <c r="Z59" s="996"/>
      <c r="AA59" s="996"/>
      <c r="AB59" s="996"/>
    </row>
    <row r="60" spans="1:29" ht="12.75" customHeight="1" x14ac:dyDescent="0.2">
      <c r="A60" s="2777" t="s">
        <v>1837</v>
      </c>
      <c r="B60" s="2777"/>
      <c r="C60" s="2777"/>
      <c r="D60" s="2777"/>
      <c r="E60" s="2777"/>
      <c r="F60" s="2777"/>
      <c r="G60" s="2777"/>
      <c r="H60" s="2777"/>
      <c r="I60" s="2777"/>
      <c r="J60" s="2777"/>
      <c r="K60" s="2777"/>
      <c r="L60" s="2777"/>
      <c r="M60" s="2777"/>
      <c r="N60" s="2777"/>
      <c r="O60" s="2777"/>
      <c r="P60" s="1006"/>
      <c r="Q60" s="1006"/>
      <c r="R60" s="1006"/>
      <c r="S60" s="1006"/>
      <c r="T60" s="1006"/>
      <c r="U60" s="1006"/>
      <c r="V60" s="1006"/>
      <c r="W60" s="1006"/>
      <c r="X60" s="1006"/>
      <c r="Y60" s="1006"/>
      <c r="Z60" s="1006"/>
      <c r="AA60" s="1006"/>
      <c r="AB60" s="1006"/>
      <c r="AC60" s="1007"/>
    </row>
    <row r="61" spans="1:29" ht="11.25" customHeight="1" x14ac:dyDescent="0.2">
      <c r="B61" s="1008"/>
      <c r="C61" s="1008"/>
      <c r="D61" s="1008"/>
      <c r="E61" s="1008"/>
      <c r="F61" s="1008"/>
      <c r="G61" s="1008"/>
      <c r="H61" s="1008"/>
      <c r="I61" s="1008"/>
      <c r="J61" s="1008"/>
      <c r="K61" s="1008"/>
      <c r="L61" s="1023"/>
      <c r="M61" s="1025" t="s">
        <v>68</v>
      </c>
      <c r="N61" s="2778">
        <v>42485</v>
      </c>
      <c r="O61" s="2778"/>
      <c r="P61" s="1009"/>
      <c r="Q61" s="1010"/>
      <c r="R61" s="1010"/>
      <c r="S61" s="1010"/>
      <c r="T61" s="1011"/>
      <c r="U61" s="1011"/>
      <c r="V61" s="1011"/>
      <c r="W61" s="1011"/>
      <c r="X61" s="1011"/>
      <c r="Y61" s="1011"/>
      <c r="Z61" s="1012"/>
      <c r="AA61" s="996"/>
      <c r="AB61" s="996"/>
    </row>
    <row r="62" spans="1:29" ht="11.25" customHeight="1" x14ac:dyDescent="0.2">
      <c r="A62" s="2779" t="s">
        <v>1825</v>
      </c>
      <c r="B62" s="2779"/>
      <c r="C62" s="2781" t="s">
        <v>1826</v>
      </c>
      <c r="D62" s="2779" t="s">
        <v>104</v>
      </c>
      <c r="E62" s="2779"/>
      <c r="F62" s="2782" t="s">
        <v>1827</v>
      </c>
      <c r="G62" s="2782"/>
      <c r="H62" s="2782"/>
      <c r="I62" s="2783"/>
      <c r="J62" s="2783"/>
      <c r="K62" s="2783"/>
      <c r="L62" s="2783"/>
      <c r="M62" s="2783"/>
      <c r="N62" s="2783"/>
      <c r="O62" s="2783"/>
      <c r="P62" s="1028"/>
      <c r="Q62" s="1013"/>
      <c r="R62" s="1013"/>
      <c r="S62" s="1013"/>
      <c r="T62" s="1013"/>
      <c r="U62" s="1013"/>
      <c r="V62" s="1013"/>
      <c r="W62" s="1013"/>
      <c r="X62" s="1013"/>
      <c r="Y62" s="1013"/>
      <c r="Z62" s="1013"/>
      <c r="AA62" s="1013"/>
      <c r="AB62" s="1013"/>
    </row>
    <row r="63" spans="1:29" ht="22.5" customHeight="1" x14ac:dyDescent="0.2">
      <c r="A63" s="2779"/>
      <c r="B63" s="2779"/>
      <c r="C63" s="2781"/>
      <c r="D63" s="2779"/>
      <c r="E63" s="2779"/>
      <c r="F63" s="1030" t="s">
        <v>1828</v>
      </c>
      <c r="G63" s="1014" t="s">
        <v>2925</v>
      </c>
      <c r="H63" s="1031" t="s">
        <v>2348</v>
      </c>
      <c r="I63" s="1032" t="s">
        <v>164</v>
      </c>
      <c r="J63" s="1032" t="s">
        <v>1769</v>
      </c>
      <c r="K63" s="1032" t="s">
        <v>1829</v>
      </c>
      <c r="L63" s="1032" t="s">
        <v>1906</v>
      </c>
      <c r="M63" s="1433" t="s">
        <v>2105</v>
      </c>
      <c r="N63" s="1033" t="s">
        <v>162</v>
      </c>
      <c r="O63" s="1032" t="s">
        <v>165</v>
      </c>
      <c r="P63" s="996"/>
      <c r="Q63" s="996"/>
      <c r="R63" s="996"/>
      <c r="S63" s="996"/>
      <c r="T63" s="996"/>
      <c r="U63" s="996"/>
      <c r="V63" s="996"/>
      <c r="W63" s="996"/>
      <c r="X63" s="996"/>
      <c r="Y63" s="996"/>
      <c r="Z63" s="996"/>
      <c r="AA63" s="996"/>
    </row>
    <row r="64" spans="1:29" ht="23.25" customHeight="1" x14ac:dyDescent="0.2">
      <c r="A64" s="2784" t="s">
        <v>1830</v>
      </c>
      <c r="B64" s="2784"/>
      <c r="C64" s="1029" t="s">
        <v>1831</v>
      </c>
      <c r="D64" s="2780" t="s">
        <v>169</v>
      </c>
      <c r="E64" s="2780"/>
      <c r="F64" s="1026">
        <f>ROUND(159*(1-K77),2)</f>
        <v>159</v>
      </c>
      <c r="G64" s="1026">
        <f>ROUND(193*(1-K77),2)</f>
        <v>193</v>
      </c>
      <c r="H64" s="1026">
        <f>ROUND(206*(1-K77),2)</f>
        <v>206</v>
      </c>
      <c r="I64" s="1026">
        <f>ROUND(222*(1-K77),2)</f>
        <v>222</v>
      </c>
      <c r="J64" s="1026">
        <f>ROUND(216*(1-K77),2)</f>
        <v>216</v>
      </c>
      <c r="K64" s="1026">
        <f>ROUND(242*(1-K77),2)</f>
        <v>242</v>
      </c>
      <c r="L64" s="1026">
        <f>ROUND(306*(1-K77),2)</f>
        <v>306</v>
      </c>
      <c r="M64" s="1026">
        <f>ROUND(330*(1-K77),2)</f>
        <v>330</v>
      </c>
      <c r="N64" s="1026">
        <f>ROUND(279*(1-K77),2)</f>
        <v>279</v>
      </c>
      <c r="O64" s="1026">
        <f>ROUND(238*(1-K77),2)</f>
        <v>238</v>
      </c>
      <c r="P64" s="996"/>
      <c r="Q64" s="996"/>
      <c r="R64" s="996"/>
      <c r="S64" s="996"/>
      <c r="T64" s="996"/>
      <c r="U64" s="996"/>
      <c r="V64" s="996"/>
      <c r="W64" s="996"/>
      <c r="X64" s="996"/>
      <c r="Y64" s="996"/>
      <c r="Z64" s="996"/>
      <c r="AA64" s="996"/>
    </row>
    <row r="65" spans="1:27" ht="15" customHeight="1" x14ac:dyDescent="0.2">
      <c r="A65" s="2776" t="s">
        <v>1832</v>
      </c>
      <c r="B65" s="2776"/>
      <c r="C65" s="1029" t="s">
        <v>1831</v>
      </c>
      <c r="D65" s="2780" t="s">
        <v>169</v>
      </c>
      <c r="E65" s="2780"/>
      <c r="F65" s="1027">
        <f>ROUND(189*(1-K77),2)</f>
        <v>189</v>
      </c>
      <c r="G65" s="1027">
        <f>ROUND(229*(1-K77),2)</f>
        <v>229</v>
      </c>
      <c r="H65" s="1027">
        <f>ROUND(245*(1-K77),2)</f>
        <v>245</v>
      </c>
      <c r="I65" s="1026">
        <f>ROUND(264*(1-K77),2)</f>
        <v>264</v>
      </c>
      <c r="J65" s="1026">
        <f>ROUND(256*(1-K77),2)</f>
        <v>256</v>
      </c>
      <c r="K65" s="1026">
        <f>ROUND(288*(1-K77),2)</f>
        <v>288</v>
      </c>
      <c r="L65" s="1026">
        <f>ROUND(364*(1-K77),2)</f>
        <v>364</v>
      </c>
      <c r="M65" s="1026">
        <f>ROUND(393*(1-K77),2)</f>
        <v>393</v>
      </c>
      <c r="N65" s="1026">
        <f>ROUND(332*(1-K77),2)</f>
        <v>332</v>
      </c>
      <c r="O65" s="1026">
        <f>ROUND(286*(1-K77),2)</f>
        <v>286</v>
      </c>
      <c r="P65" s="996"/>
      <c r="Q65" s="996"/>
      <c r="R65" s="996"/>
      <c r="S65" s="996"/>
      <c r="T65" s="996"/>
      <c r="U65" s="996"/>
      <c r="V65" s="996"/>
      <c r="W65" s="996"/>
      <c r="X65" s="996"/>
      <c r="Y65" s="996"/>
      <c r="Z65" s="996"/>
      <c r="AA65" s="996"/>
    </row>
    <row r="66" spans="1:27" ht="15" customHeight="1" x14ac:dyDescent="0.2">
      <c r="A66" s="2776" t="s">
        <v>1833</v>
      </c>
      <c r="B66" s="2776"/>
      <c r="C66" s="1029" t="s">
        <v>1831</v>
      </c>
      <c r="D66" s="2780" t="s">
        <v>169</v>
      </c>
      <c r="E66" s="2780"/>
      <c r="F66" s="1026">
        <f>ROUND(232*(1-K77),2)</f>
        <v>232</v>
      </c>
      <c r="G66" s="1026">
        <f>ROUND(283*(1-K77),2)</f>
        <v>283</v>
      </c>
      <c r="H66" s="1026">
        <f>ROUND(302*(1-K77),2)</f>
        <v>302</v>
      </c>
      <c r="I66" s="1026">
        <f>ROUND(326*(1-K77),2)</f>
        <v>326</v>
      </c>
      <c r="J66" s="1026">
        <f>ROUND(317*(1-K77),2)</f>
        <v>317</v>
      </c>
      <c r="K66" s="1026">
        <f>ROUND(356*(1-K77),2)</f>
        <v>356</v>
      </c>
      <c r="L66" s="1026">
        <f>ROUND(451*(1-K77),2)</f>
        <v>451</v>
      </c>
      <c r="M66" s="1026">
        <f>ROUND(488*(1-K77),2)</f>
        <v>488</v>
      </c>
      <c r="N66" s="1026">
        <f>ROUND(412*(1-K77),2)</f>
        <v>412</v>
      </c>
      <c r="O66" s="1026">
        <f>ROUND(350*(1-K77),2)</f>
        <v>350</v>
      </c>
    </row>
    <row r="67" spans="1:27" ht="15" customHeight="1" x14ac:dyDescent="0.2">
      <c r="A67" s="2790" t="s">
        <v>1834</v>
      </c>
      <c r="B67" s="2790"/>
      <c r="C67" s="1029" t="s">
        <v>1831</v>
      </c>
      <c r="D67" s="2780" t="s">
        <v>169</v>
      </c>
      <c r="E67" s="2780"/>
      <c r="F67" s="1027">
        <f>ROUND(139*(1-K77),2)</f>
        <v>139</v>
      </c>
      <c r="G67" s="1027">
        <f>ROUND(168*(1-K77),2)</f>
        <v>168</v>
      </c>
      <c r="H67" s="1027">
        <f>ROUND(179*(1-K77),2)</f>
        <v>179</v>
      </c>
      <c r="I67" s="1026">
        <f>ROUND(192*(1-K77),2)</f>
        <v>192</v>
      </c>
      <c r="J67" s="1026">
        <f>ROUND(187*(1-K77),2)</f>
        <v>187</v>
      </c>
      <c r="K67" s="1026">
        <f>ROUND(210*(1-K77),2)</f>
        <v>210</v>
      </c>
      <c r="L67" s="1026">
        <f>ROUND(264*(1-K77),2)</f>
        <v>264</v>
      </c>
      <c r="M67" s="1026">
        <f>ROUND(285*(1-K77),2)</f>
        <v>285</v>
      </c>
      <c r="N67" s="1026">
        <f>ROUND(241*(1-K77),2)</f>
        <v>241</v>
      </c>
      <c r="O67" s="1026">
        <f>ROUND(206*(1-K77),2)</f>
        <v>206</v>
      </c>
    </row>
    <row r="68" spans="1:27" ht="15" customHeight="1" x14ac:dyDescent="0.2">
      <c r="A68" s="2790" t="s">
        <v>1835</v>
      </c>
      <c r="B68" s="2790"/>
      <c r="C68" s="1029" t="s">
        <v>1831</v>
      </c>
      <c r="D68" s="2780" t="s">
        <v>169</v>
      </c>
      <c r="E68" s="2780"/>
      <c r="F68" s="1026">
        <f>ROUND(159*(1-K77),2)</f>
        <v>159</v>
      </c>
      <c r="G68" s="1026">
        <f>ROUND(193*(1-K77),2)</f>
        <v>193</v>
      </c>
      <c r="H68" s="1026">
        <f>ROUND(206*(1-K77),2)</f>
        <v>206</v>
      </c>
      <c r="I68" s="1026">
        <f>ROUND(222*(1-K77),2)</f>
        <v>222</v>
      </c>
      <c r="J68" s="1026">
        <f>ROUND(216*(1-K77),2)</f>
        <v>216</v>
      </c>
      <c r="K68" s="1026">
        <f>ROUND(242*(1-K77),2)</f>
        <v>242</v>
      </c>
      <c r="L68" s="1026">
        <f>ROUND(306*(1-K77),2)</f>
        <v>306</v>
      </c>
      <c r="M68" s="1026">
        <f>ROUND(330*(1-K77),2)</f>
        <v>330</v>
      </c>
      <c r="N68" s="1026">
        <f>ROUND(279*(1-K77),2)</f>
        <v>279</v>
      </c>
      <c r="O68" s="1026">
        <f>ROUND(238*(1-K77),2)</f>
        <v>238</v>
      </c>
    </row>
    <row r="69" spans="1:27" ht="18" x14ac:dyDescent="0.25">
      <c r="A69" s="2791" t="s">
        <v>1840</v>
      </c>
      <c r="B69" s="2791"/>
      <c r="C69" s="2791"/>
      <c r="D69" s="2791"/>
      <c r="E69" s="2791"/>
      <c r="F69" s="2791"/>
      <c r="G69" s="2791"/>
      <c r="H69" s="2791"/>
      <c r="I69" s="2791"/>
      <c r="J69" s="2791"/>
      <c r="K69" s="2791"/>
      <c r="L69" s="2791"/>
      <c r="M69" s="2791"/>
      <c r="N69" s="2791"/>
      <c r="O69" s="2791"/>
      <c r="P69" s="1015"/>
      <c r="Q69" s="1015"/>
    </row>
    <row r="70" spans="1:27" ht="12.75" customHeight="1" x14ac:dyDescent="0.2">
      <c r="A70" s="1016"/>
      <c r="B70" s="1017" t="s">
        <v>399</v>
      </c>
      <c r="C70" s="1018" t="s">
        <v>104</v>
      </c>
      <c r="D70" s="2773" t="s">
        <v>1827</v>
      </c>
      <c r="E70" s="2774"/>
      <c r="F70" s="2774"/>
      <c r="G70" s="2774"/>
      <c r="H70" s="2774"/>
      <c r="I70" s="2774"/>
      <c r="J70" s="2774"/>
      <c r="K70" s="2774"/>
      <c r="L70" s="2774"/>
      <c r="M70" s="2774"/>
      <c r="N70" s="2774"/>
      <c r="O70" s="2775"/>
      <c r="P70" s="1015"/>
      <c r="Q70" s="1015"/>
    </row>
    <row r="71" spans="1:27" ht="24.75" customHeight="1" x14ac:dyDescent="0.2">
      <c r="A71" s="1019"/>
      <c r="B71" s="1020" t="s">
        <v>1836</v>
      </c>
      <c r="C71" s="1021" t="s">
        <v>107</v>
      </c>
      <c r="D71" s="2787">
        <v>1100</v>
      </c>
      <c r="E71" s="2788"/>
      <c r="F71" s="2788"/>
      <c r="G71" s="2788"/>
      <c r="H71" s="2788"/>
      <c r="I71" s="2788"/>
      <c r="J71" s="2788"/>
      <c r="K71" s="2788"/>
      <c r="L71" s="2788"/>
      <c r="M71" s="2788"/>
      <c r="N71" s="2788"/>
      <c r="O71" s="2789"/>
    </row>
    <row r="72" spans="1:27" ht="35.25" customHeight="1" x14ac:dyDescent="0.2">
      <c r="A72" s="1019"/>
      <c r="B72" s="1022" t="s">
        <v>1705</v>
      </c>
      <c r="C72" s="1021" t="s">
        <v>107</v>
      </c>
      <c r="D72" s="2787">
        <v>400</v>
      </c>
      <c r="E72" s="2788"/>
      <c r="F72" s="2788"/>
      <c r="G72" s="2788"/>
      <c r="H72" s="2788"/>
      <c r="I72" s="2788"/>
      <c r="J72" s="2788"/>
      <c r="K72" s="2788"/>
      <c r="L72" s="2788"/>
      <c r="M72" s="2788"/>
      <c r="N72" s="2788"/>
      <c r="O72" s="2789"/>
    </row>
    <row r="75" spans="1:27" ht="12.75" x14ac:dyDescent="0.2">
      <c r="A75" s="2712" t="s">
        <v>66</v>
      </c>
      <c r="B75" s="2712"/>
      <c r="C75" s="2712"/>
      <c r="D75" s="2712"/>
      <c r="F75" s="2712" t="s">
        <v>66</v>
      </c>
      <c r="G75" s="2712"/>
      <c r="H75" s="2712"/>
      <c r="I75" s="2712"/>
      <c r="J75" s="2712"/>
      <c r="K75" s="2712"/>
    </row>
    <row r="76" spans="1:27" ht="12" x14ac:dyDescent="0.2">
      <c r="A76" s="2711" t="s">
        <v>2511</v>
      </c>
      <c r="B76" s="2711"/>
      <c r="C76" s="2711"/>
      <c r="D76" s="1690">
        <v>0</v>
      </c>
      <c r="F76" s="2711" t="s">
        <v>157</v>
      </c>
      <c r="G76" s="2711"/>
      <c r="H76" s="2711"/>
      <c r="I76" s="2711"/>
      <c r="J76" s="2711"/>
      <c r="K76" s="1690">
        <v>0</v>
      </c>
    </row>
    <row r="77" spans="1:27" ht="12" x14ac:dyDescent="0.2">
      <c r="A77" s="2713" t="s">
        <v>2512</v>
      </c>
      <c r="B77" s="2714"/>
      <c r="C77" s="2715"/>
      <c r="D77" s="1690">
        <v>0</v>
      </c>
      <c r="F77" s="2711" t="s">
        <v>841</v>
      </c>
      <c r="G77" s="2711"/>
      <c r="H77" s="2711"/>
      <c r="I77" s="2711"/>
      <c r="J77" s="2711"/>
      <c r="K77" s="1690">
        <v>0</v>
      </c>
      <c r="L77" s="1692"/>
    </row>
    <row r="78" spans="1:27" ht="12" x14ac:dyDescent="0.2">
      <c r="A78" s="2713" t="s">
        <v>2513</v>
      </c>
      <c r="B78" s="2714"/>
      <c r="C78" s="2715"/>
      <c r="D78" s="1690">
        <v>0</v>
      </c>
      <c r="F78" s="2718" t="s">
        <v>1817</v>
      </c>
      <c r="G78" s="2718"/>
      <c r="H78" s="2718"/>
      <c r="I78" s="2718"/>
      <c r="J78" s="2718"/>
      <c r="K78" s="1848">
        <v>0</v>
      </c>
    </row>
    <row r="79" spans="1:27" ht="12" x14ac:dyDescent="0.2">
      <c r="A79" s="2716" t="s">
        <v>2514</v>
      </c>
      <c r="B79" s="2716"/>
      <c r="C79" s="2716"/>
      <c r="D79" s="1690">
        <v>0</v>
      </c>
      <c r="F79" s="2710"/>
      <c r="G79" s="2710"/>
      <c r="H79" s="2710"/>
      <c r="I79" s="2710"/>
      <c r="J79" s="2710"/>
      <c r="K79" s="1691"/>
    </row>
    <row r="80" spans="1:27" ht="12" x14ac:dyDescent="0.2">
      <c r="A80" s="2717" t="s">
        <v>2515</v>
      </c>
      <c r="B80" s="2717"/>
      <c r="C80" s="2717"/>
      <c r="D80" s="1690">
        <v>0</v>
      </c>
      <c r="F80" s="997"/>
      <c r="G80" s="1693"/>
      <c r="H80" s="1693"/>
      <c r="I80" s="997"/>
    </row>
    <row r="81" spans="1:9" ht="12" x14ac:dyDescent="0.2">
      <c r="A81" s="2716" t="s">
        <v>2516</v>
      </c>
      <c r="B81" s="2716"/>
      <c r="C81" s="2716"/>
      <c r="D81" s="1690">
        <v>0</v>
      </c>
      <c r="F81" s="1693"/>
      <c r="G81" s="1693"/>
      <c r="H81" s="1693"/>
      <c r="I81" s="997"/>
    </row>
    <row r="82" spans="1:9" ht="12" x14ac:dyDescent="0.2">
      <c r="A82" s="2716" t="s">
        <v>2517</v>
      </c>
      <c r="B82" s="2716"/>
      <c r="C82" s="2716"/>
      <c r="D82" s="1690">
        <v>0</v>
      </c>
      <c r="F82" s="997"/>
      <c r="G82" s="1694"/>
      <c r="H82" s="997"/>
      <c r="I82" s="997"/>
    </row>
    <row r="83" spans="1:9" ht="12" x14ac:dyDescent="0.2">
      <c r="A83" s="2716" t="s">
        <v>2518</v>
      </c>
      <c r="B83" s="2716"/>
      <c r="C83" s="2716"/>
      <c r="D83" s="1690">
        <v>0</v>
      </c>
      <c r="F83" s="997"/>
      <c r="G83" s="1695"/>
      <c r="H83" s="997"/>
      <c r="I83" s="997"/>
    </row>
    <row r="84" spans="1:9" ht="12" customHeight="1" x14ac:dyDescent="0.2">
      <c r="F84" s="1695"/>
      <c r="G84" s="1695"/>
      <c r="H84" s="997"/>
      <c r="I84" s="997"/>
    </row>
    <row r="85" spans="1:9" ht="12" x14ac:dyDescent="0.2">
      <c r="F85" s="997"/>
      <c r="G85" s="1694"/>
      <c r="H85" s="997"/>
      <c r="I85" s="997"/>
    </row>
    <row r="86" spans="1:9" x14ac:dyDescent="0.2">
      <c r="F86" s="997"/>
      <c r="G86" s="1695"/>
      <c r="H86" s="997"/>
      <c r="I86" s="997"/>
    </row>
    <row r="87" spans="1:9" x14ac:dyDescent="0.2">
      <c r="F87" s="1695"/>
      <c r="G87" s="1695"/>
      <c r="H87" s="997"/>
      <c r="I87" s="997"/>
    </row>
    <row r="88" spans="1:9" x14ac:dyDescent="0.2">
      <c r="F88" s="997"/>
      <c r="G88" s="997"/>
      <c r="H88" s="997"/>
      <c r="I88" s="997"/>
    </row>
  </sheetData>
  <mergeCells count="144">
    <mergeCell ref="K43:L43"/>
    <mergeCell ref="N49:O49"/>
    <mergeCell ref="N54:O54"/>
    <mergeCell ref="M42:M43"/>
    <mergeCell ref="K42:L42"/>
    <mergeCell ref="A42:B43"/>
    <mergeCell ref="C42:J43"/>
    <mergeCell ref="C52:J52"/>
    <mergeCell ref="K52:L52"/>
    <mergeCell ref="A44:B44"/>
    <mergeCell ref="N48:O48"/>
    <mergeCell ref="C53:J53"/>
    <mergeCell ref="K53:L53"/>
    <mergeCell ref="A52:B53"/>
    <mergeCell ref="C46:J46"/>
    <mergeCell ref="K46:L46"/>
    <mergeCell ref="A46:B46"/>
    <mergeCell ref="A47:B47"/>
    <mergeCell ref="C47:J47"/>
    <mergeCell ref="K47:L47"/>
    <mergeCell ref="C44:J44"/>
    <mergeCell ref="K44:L44"/>
    <mergeCell ref="A45:B45"/>
    <mergeCell ref="C45:J45"/>
    <mergeCell ref="K45:L45"/>
    <mergeCell ref="D71:O71"/>
    <mergeCell ref="D72:O72"/>
    <mergeCell ref="A67:B67"/>
    <mergeCell ref="A68:B68"/>
    <mergeCell ref="A69:O69"/>
    <mergeCell ref="D67:E67"/>
    <mergeCell ref="D68:E68"/>
    <mergeCell ref="A54:B54"/>
    <mergeCell ref="C54:J54"/>
    <mergeCell ref="K54:L54"/>
    <mergeCell ref="C48:J48"/>
    <mergeCell ref="A56:M56"/>
    <mergeCell ref="N56:O56"/>
    <mergeCell ref="A49:B49"/>
    <mergeCell ref="A55:B55"/>
    <mergeCell ref="C55:J55"/>
    <mergeCell ref="K55:L55"/>
    <mergeCell ref="A50:B50"/>
    <mergeCell ref="C50:J50"/>
    <mergeCell ref="K50:L50"/>
    <mergeCell ref="A51:M51"/>
    <mergeCell ref="C49:J49"/>
    <mergeCell ref="C57:J57"/>
    <mergeCell ref="N57:O57"/>
    <mergeCell ref="K57:L57"/>
    <mergeCell ref="A57:B57"/>
    <mergeCell ref="D70:O70"/>
    <mergeCell ref="A66:B66"/>
    <mergeCell ref="A60:O60"/>
    <mergeCell ref="N61:O61"/>
    <mergeCell ref="A62:B63"/>
    <mergeCell ref="D64:E64"/>
    <mergeCell ref="D65:E65"/>
    <mergeCell ref="D66:E66"/>
    <mergeCell ref="C62:C63"/>
    <mergeCell ref="F62:O62"/>
    <mergeCell ref="D62:E63"/>
    <mergeCell ref="A64:B64"/>
    <mergeCell ref="A65:B65"/>
    <mergeCell ref="N58:O58"/>
    <mergeCell ref="K49:L49"/>
    <mergeCell ref="N50:O50"/>
    <mergeCell ref="K48:L48"/>
    <mergeCell ref="A48:B48"/>
    <mergeCell ref="A58:B58"/>
    <mergeCell ref="K58:L58"/>
    <mergeCell ref="C58:J58"/>
    <mergeCell ref="A23:O23"/>
    <mergeCell ref="A24:B24"/>
    <mergeCell ref="C24:I24"/>
    <mergeCell ref="A25:O25"/>
    <mergeCell ref="A26:B26"/>
    <mergeCell ref="C26:I26"/>
    <mergeCell ref="A40:B41"/>
    <mergeCell ref="C40:J41"/>
    <mergeCell ref="K40:L40"/>
    <mergeCell ref="M40:M41"/>
    <mergeCell ref="K41:L41"/>
    <mergeCell ref="A36:O36"/>
    <mergeCell ref="A37:B38"/>
    <mergeCell ref="C37:J38"/>
    <mergeCell ref="K37:L38"/>
    <mergeCell ref="M37:M38"/>
    <mergeCell ref="N37:O37"/>
    <mergeCell ref="A16:O16"/>
    <mergeCell ref="A17:B17"/>
    <mergeCell ref="C17:I17"/>
    <mergeCell ref="J17:J20"/>
    <mergeCell ref="K17:K20"/>
    <mergeCell ref="A18:B19"/>
    <mergeCell ref="A39:B39"/>
    <mergeCell ref="C39:J39"/>
    <mergeCell ref="K39:L39"/>
    <mergeCell ref="C18:I18"/>
    <mergeCell ref="C19:I19"/>
    <mergeCell ref="A20:B20"/>
    <mergeCell ref="C20:I20"/>
    <mergeCell ref="A21:O21"/>
    <mergeCell ref="A22:B22"/>
    <mergeCell ref="C22:I22"/>
    <mergeCell ref="A9:O9"/>
    <mergeCell ref="A10:B10"/>
    <mergeCell ref="C10:I10"/>
    <mergeCell ref="A11:O11"/>
    <mergeCell ref="A12:B12"/>
    <mergeCell ref="C12:I12"/>
    <mergeCell ref="J12:J15"/>
    <mergeCell ref="K12:K15"/>
    <mergeCell ref="A13:B13"/>
    <mergeCell ref="C13:I13"/>
    <mergeCell ref="A14:B14"/>
    <mergeCell ref="C14:I14"/>
    <mergeCell ref="A15:B15"/>
    <mergeCell ref="C15:I15"/>
    <mergeCell ref="A1:O1"/>
    <mergeCell ref="A5:O5"/>
    <mergeCell ref="A6:B6"/>
    <mergeCell ref="C6:I6"/>
    <mergeCell ref="A7:O7"/>
    <mergeCell ref="A8:B8"/>
    <mergeCell ref="C8:I8"/>
    <mergeCell ref="N3:O3"/>
    <mergeCell ref="A4:B4"/>
    <mergeCell ref="C4:I4"/>
    <mergeCell ref="A2:O2"/>
    <mergeCell ref="F79:J79"/>
    <mergeCell ref="A76:C76"/>
    <mergeCell ref="A75:D75"/>
    <mergeCell ref="A77:C77"/>
    <mergeCell ref="A79:C79"/>
    <mergeCell ref="A80:C80"/>
    <mergeCell ref="A81:C81"/>
    <mergeCell ref="A82:C82"/>
    <mergeCell ref="A83:C83"/>
    <mergeCell ref="F75:K75"/>
    <mergeCell ref="F76:J76"/>
    <mergeCell ref="F77:J77"/>
    <mergeCell ref="F78:J78"/>
    <mergeCell ref="A78:C78"/>
  </mergeCells>
  <printOptions horizontalCentered="1"/>
  <pageMargins left="0" right="0" top="0.39370078740157483" bottom="0" header="0.31496062992125984" footer="0.31496062992125984"/>
  <pageSetup paperSize="9" scale="62" orientation="portrait" r:id="rId1"/>
  <ignoredErrors>
    <ignoredError sqref="O45" formula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56"/>
  <sheetViews>
    <sheetView topLeftCell="B19" zoomScale="90" zoomScaleNormal="90" workbookViewId="0">
      <selection sqref="A1:N2"/>
    </sheetView>
  </sheetViews>
  <sheetFormatPr defaultRowHeight="12.75" x14ac:dyDescent="0.25"/>
  <cols>
    <col min="1" max="1" width="0.140625" style="2027" hidden="1" customWidth="1"/>
    <col min="2" max="2" width="49" style="2048" customWidth="1"/>
    <col min="3" max="3" width="13" style="2027" customWidth="1"/>
    <col min="4" max="4" width="7.7109375" style="2027" customWidth="1"/>
    <col min="5" max="5" width="8.5703125" style="2027" customWidth="1"/>
    <col min="6" max="6" width="8.7109375" style="2027" customWidth="1"/>
    <col min="7" max="7" width="19.7109375" style="2027" customWidth="1"/>
    <col min="8" max="8" width="19.42578125" style="2027" customWidth="1"/>
    <col min="9" max="9" width="1.42578125" style="2027" customWidth="1"/>
    <col min="10" max="10" width="44" style="2027" customWidth="1"/>
    <col min="11" max="11" width="13.5703125" style="2027" customWidth="1"/>
    <col min="12" max="12" width="7.7109375" style="2027" customWidth="1"/>
    <col min="13" max="13" width="19.140625" style="2027" customWidth="1"/>
    <col min="14" max="14" width="19.5703125" style="2027" customWidth="1"/>
    <col min="15" max="16384" width="9.140625" style="2027"/>
  </cols>
  <sheetData>
    <row r="1" spans="2:14" ht="53.25" customHeight="1" thickBot="1" x14ac:dyDescent="0.3">
      <c r="B1" s="2851"/>
      <c r="C1" s="2851"/>
      <c r="D1" s="2851"/>
      <c r="E1" s="2851"/>
      <c r="F1" s="2851"/>
      <c r="G1" s="2851"/>
      <c r="H1" s="2851"/>
      <c r="I1" s="2851"/>
      <c r="J1" s="2851"/>
      <c r="K1" s="2851"/>
      <c r="L1" s="2851"/>
      <c r="M1" s="2851"/>
      <c r="N1" s="2851"/>
    </row>
    <row r="2" spans="2:14" ht="18" x14ac:dyDescent="0.25">
      <c r="B2" s="2852" t="s">
        <v>2951</v>
      </c>
      <c r="C2" s="2852"/>
      <c r="D2" s="2852"/>
      <c r="E2" s="2852"/>
      <c r="F2" s="2852"/>
      <c r="G2" s="2852"/>
      <c r="H2" s="2852"/>
      <c r="I2" s="2852"/>
      <c r="J2" s="2852"/>
      <c r="K2" s="2852"/>
      <c r="L2" s="2852"/>
      <c r="M2" s="2852"/>
      <c r="N2" s="2852"/>
    </row>
    <row r="3" spans="2:14" ht="12.75" customHeight="1" x14ac:dyDescent="0.25">
      <c r="B3" s="2028"/>
      <c r="C3" s="2028"/>
      <c r="G3" s="2029"/>
      <c r="H3" s="2030"/>
    </row>
    <row r="4" spans="2:14" s="2032" customFormat="1" ht="15" customHeight="1" x14ac:dyDescent="0.25">
      <c r="B4" s="2853" t="s">
        <v>399</v>
      </c>
      <c r="C4" s="2854" t="s">
        <v>2952</v>
      </c>
      <c r="D4" s="2853" t="s">
        <v>2953</v>
      </c>
      <c r="E4" s="2854" t="s">
        <v>2954</v>
      </c>
      <c r="F4" s="2854"/>
      <c r="G4" s="2031" t="s">
        <v>2955</v>
      </c>
      <c r="H4" s="2031" t="s">
        <v>2956</v>
      </c>
      <c r="J4" s="2853" t="s">
        <v>399</v>
      </c>
      <c r="K4" s="2854" t="s">
        <v>2952</v>
      </c>
      <c r="L4" s="2853" t="s">
        <v>2953</v>
      </c>
      <c r="M4" s="2031" t="s">
        <v>2955</v>
      </c>
      <c r="N4" s="2031" t="s">
        <v>2956</v>
      </c>
    </row>
    <row r="5" spans="2:14" ht="45.75" customHeight="1" x14ac:dyDescent="0.25">
      <c r="B5" s="2853"/>
      <c r="C5" s="2854"/>
      <c r="D5" s="2853"/>
      <c r="E5" s="2033" t="s">
        <v>2957</v>
      </c>
      <c r="F5" s="2034" t="s">
        <v>2958</v>
      </c>
      <c r="G5" s="2034" t="s">
        <v>2959</v>
      </c>
      <c r="H5" s="2034" t="s">
        <v>2960</v>
      </c>
      <c r="J5" s="2853"/>
      <c r="K5" s="2854"/>
      <c r="L5" s="2853"/>
      <c r="M5" s="2034" t="s">
        <v>2959</v>
      </c>
      <c r="N5" s="2034" t="s">
        <v>2960</v>
      </c>
    </row>
    <row r="6" spans="2:14" ht="15" x14ac:dyDescent="0.25">
      <c r="B6" s="2824" t="s">
        <v>2894</v>
      </c>
      <c r="C6" s="2824"/>
      <c r="D6" s="2824"/>
      <c r="E6" s="2824"/>
      <c r="F6" s="2824"/>
      <c r="G6" s="2824"/>
      <c r="H6" s="2824"/>
      <c r="J6" s="2824" t="s">
        <v>2961</v>
      </c>
      <c r="K6" s="2824"/>
      <c r="L6" s="2824"/>
      <c r="M6" s="2824"/>
      <c r="N6" s="2824"/>
    </row>
    <row r="7" spans="2:14" ht="24" customHeight="1" x14ac:dyDescent="0.25">
      <c r="B7" s="2035" t="s">
        <v>2962</v>
      </c>
      <c r="C7" s="2036" t="s">
        <v>2963</v>
      </c>
      <c r="D7" s="2037" t="s">
        <v>179</v>
      </c>
      <c r="E7" s="2038">
        <v>50</v>
      </c>
      <c r="F7" s="2038">
        <v>60</v>
      </c>
      <c r="G7" s="2038">
        <v>70</v>
      </c>
      <c r="H7" s="2039">
        <v>80</v>
      </c>
      <c r="J7" s="2035" t="s">
        <v>2964</v>
      </c>
      <c r="K7" s="2036" t="s">
        <v>2965</v>
      </c>
      <c r="L7" s="2037" t="s">
        <v>179</v>
      </c>
      <c r="M7" s="2818">
        <v>2000</v>
      </c>
      <c r="N7" s="2820"/>
    </row>
    <row r="8" spans="2:14" ht="15" x14ac:dyDescent="0.25">
      <c r="B8" s="2824" t="s">
        <v>2966</v>
      </c>
      <c r="C8" s="2824"/>
      <c r="D8" s="2824"/>
      <c r="E8" s="2824"/>
      <c r="F8" s="2824"/>
      <c r="G8" s="2824"/>
      <c r="H8" s="2824"/>
      <c r="J8" s="2035" t="s">
        <v>2967</v>
      </c>
      <c r="K8" s="2036" t="s">
        <v>2965</v>
      </c>
      <c r="L8" s="2037" t="s">
        <v>179</v>
      </c>
      <c r="M8" s="2818">
        <v>2350</v>
      </c>
      <c r="N8" s="2820"/>
    </row>
    <row r="9" spans="2:14" x14ac:dyDescent="0.25">
      <c r="B9" s="2840" t="s">
        <v>2968</v>
      </c>
      <c r="C9" s="2842"/>
      <c r="D9" s="2037" t="s">
        <v>179</v>
      </c>
      <c r="E9" s="2038">
        <v>130</v>
      </c>
      <c r="F9" s="2038">
        <v>150</v>
      </c>
      <c r="G9" s="2038">
        <v>220</v>
      </c>
      <c r="H9" s="2039">
        <v>330</v>
      </c>
      <c r="J9" s="2035" t="s">
        <v>2969</v>
      </c>
      <c r="K9" s="2036" t="s">
        <v>2970</v>
      </c>
      <c r="L9" s="2037" t="s">
        <v>179</v>
      </c>
      <c r="M9" s="2818">
        <v>2350</v>
      </c>
      <c r="N9" s="2820"/>
    </row>
    <row r="10" spans="2:14" x14ac:dyDescent="0.25">
      <c r="B10" s="2840" t="s">
        <v>2971</v>
      </c>
      <c r="C10" s="2842"/>
      <c r="D10" s="2037" t="s">
        <v>179</v>
      </c>
      <c r="E10" s="2040" t="s">
        <v>106</v>
      </c>
      <c r="F10" s="2040" t="s">
        <v>106</v>
      </c>
      <c r="G10" s="2038">
        <v>1250</v>
      </c>
      <c r="H10" s="2039">
        <v>1650</v>
      </c>
      <c r="J10" s="2035" t="s">
        <v>2972</v>
      </c>
      <c r="K10" s="2036">
        <v>1000</v>
      </c>
      <c r="L10" s="2037" t="s">
        <v>179</v>
      </c>
      <c r="M10" s="2818">
        <v>50</v>
      </c>
      <c r="N10" s="2820"/>
    </row>
    <row r="11" spans="2:14" ht="14.25" customHeight="1" x14ac:dyDescent="0.25">
      <c r="B11" s="2840" t="s">
        <v>2973</v>
      </c>
      <c r="C11" s="2842"/>
      <c r="D11" s="2037" t="s">
        <v>179</v>
      </c>
      <c r="E11" s="2040" t="s">
        <v>106</v>
      </c>
      <c r="F11" s="2040" t="s">
        <v>106</v>
      </c>
      <c r="G11" s="2038">
        <v>1450</v>
      </c>
      <c r="H11" s="2039">
        <v>2250</v>
      </c>
      <c r="J11" s="2848" t="s">
        <v>2974</v>
      </c>
      <c r="K11" s="2849"/>
      <c r="L11" s="2849"/>
      <c r="M11" s="2849"/>
      <c r="N11" s="2850"/>
    </row>
    <row r="12" spans="2:14" x14ac:dyDescent="0.25">
      <c r="B12" s="2840" t="s">
        <v>2975</v>
      </c>
      <c r="C12" s="2842"/>
      <c r="D12" s="2037" t="s">
        <v>179</v>
      </c>
      <c r="E12" s="2040" t="s">
        <v>106</v>
      </c>
      <c r="F12" s="2040" t="s">
        <v>106</v>
      </c>
      <c r="G12" s="2038">
        <v>2550</v>
      </c>
      <c r="H12" s="2039">
        <v>4250</v>
      </c>
      <c r="J12" s="2035" t="s">
        <v>2976</v>
      </c>
      <c r="K12" s="2036"/>
      <c r="L12" s="2037" t="s">
        <v>179</v>
      </c>
      <c r="M12" s="2818">
        <v>50</v>
      </c>
      <c r="N12" s="2820"/>
    </row>
    <row r="13" spans="2:14" ht="15" x14ac:dyDescent="0.25">
      <c r="B13" s="2840" t="s">
        <v>2977</v>
      </c>
      <c r="C13" s="2842"/>
      <c r="D13" s="2037" t="s">
        <v>179</v>
      </c>
      <c r="E13" s="2040" t="s">
        <v>106</v>
      </c>
      <c r="F13" s="2040" t="s">
        <v>106</v>
      </c>
      <c r="G13" s="2038">
        <v>3550</v>
      </c>
      <c r="H13" s="2039">
        <v>4650</v>
      </c>
      <c r="J13" s="2824" t="s">
        <v>2978</v>
      </c>
      <c r="K13" s="2824"/>
      <c r="L13" s="2824" t="s">
        <v>179</v>
      </c>
      <c r="M13" s="2824"/>
      <c r="N13" s="2824"/>
    </row>
    <row r="14" spans="2:14" x14ac:dyDescent="0.25">
      <c r="B14" s="2840" t="s">
        <v>2979</v>
      </c>
      <c r="C14" s="2842"/>
      <c r="D14" s="2037" t="s">
        <v>179</v>
      </c>
      <c r="E14" s="2040" t="s">
        <v>106</v>
      </c>
      <c r="F14" s="2040" t="s">
        <v>106</v>
      </c>
      <c r="G14" s="2038">
        <v>3550</v>
      </c>
      <c r="H14" s="2039">
        <v>4650</v>
      </c>
      <c r="J14" s="2035" t="s">
        <v>2980</v>
      </c>
      <c r="K14" s="2845" t="s">
        <v>2981</v>
      </c>
      <c r="L14" s="2037" t="s">
        <v>179</v>
      </c>
      <c r="M14" s="2818">
        <v>1500</v>
      </c>
      <c r="N14" s="2820"/>
    </row>
    <row r="15" spans="2:14" x14ac:dyDescent="0.25">
      <c r="B15" s="2840" t="s">
        <v>2982</v>
      </c>
      <c r="C15" s="2842"/>
      <c r="D15" s="2037" t="s">
        <v>179</v>
      </c>
      <c r="E15" s="2038">
        <v>230</v>
      </c>
      <c r="F15" s="2038">
        <v>250</v>
      </c>
      <c r="G15" s="2038">
        <v>350</v>
      </c>
      <c r="H15" s="2039">
        <v>450</v>
      </c>
      <c r="J15" s="2035" t="s">
        <v>2983</v>
      </c>
      <c r="K15" s="2846"/>
      <c r="L15" s="2037" t="s">
        <v>179</v>
      </c>
      <c r="M15" s="2818">
        <v>2300</v>
      </c>
      <c r="N15" s="2820"/>
    </row>
    <row r="16" spans="2:14" ht="13.5" customHeight="1" x14ac:dyDescent="0.25">
      <c r="B16" s="2840" t="s">
        <v>2984</v>
      </c>
      <c r="C16" s="2842"/>
      <c r="D16" s="2037" t="s">
        <v>179</v>
      </c>
      <c r="E16" s="2040" t="s">
        <v>106</v>
      </c>
      <c r="F16" s="2040" t="s">
        <v>106</v>
      </c>
      <c r="G16" s="2038">
        <v>700</v>
      </c>
      <c r="H16" s="2039">
        <v>850</v>
      </c>
      <c r="J16" s="2035" t="s">
        <v>2985</v>
      </c>
      <c r="K16" s="2846"/>
      <c r="L16" s="2037" t="s">
        <v>179</v>
      </c>
      <c r="M16" s="2818">
        <v>3600</v>
      </c>
      <c r="N16" s="2820"/>
    </row>
    <row r="17" spans="2:14" ht="15.75" customHeight="1" x14ac:dyDescent="0.25">
      <c r="B17" s="2824" t="s">
        <v>2986</v>
      </c>
      <c r="C17" s="2824"/>
      <c r="D17" s="2824"/>
      <c r="E17" s="2824"/>
      <c r="F17" s="2824"/>
      <c r="G17" s="2824"/>
      <c r="H17" s="2824"/>
      <c r="J17" s="2035" t="s">
        <v>2987</v>
      </c>
      <c r="K17" s="2847"/>
      <c r="L17" s="2037" t="s">
        <v>179</v>
      </c>
      <c r="M17" s="2818">
        <v>5200</v>
      </c>
      <c r="N17" s="2820"/>
    </row>
    <row r="18" spans="2:14" x14ac:dyDescent="0.25">
      <c r="B18" s="2035" t="s">
        <v>2988</v>
      </c>
      <c r="C18" s="2036" t="s">
        <v>2989</v>
      </c>
      <c r="D18" s="2037" t="s">
        <v>179</v>
      </c>
      <c r="E18" s="2818">
        <v>2700</v>
      </c>
      <c r="F18" s="2819"/>
      <c r="G18" s="2819"/>
      <c r="H18" s="2820"/>
      <c r="J18" s="2035" t="s">
        <v>2990</v>
      </c>
      <c r="K18" s="2036" t="s">
        <v>17</v>
      </c>
      <c r="L18" s="2037" t="s">
        <v>179</v>
      </c>
      <c r="M18" s="2818">
        <v>1800</v>
      </c>
      <c r="N18" s="2820"/>
    </row>
    <row r="19" spans="2:14" ht="23.25" customHeight="1" x14ac:dyDescent="0.25">
      <c r="B19" s="2035" t="s">
        <v>2991</v>
      </c>
      <c r="C19" s="2036" t="s">
        <v>2992</v>
      </c>
      <c r="D19" s="2037" t="s">
        <v>179</v>
      </c>
      <c r="E19" s="2818">
        <v>7500</v>
      </c>
      <c r="F19" s="2819"/>
      <c r="G19" s="2819"/>
      <c r="H19" s="2820"/>
      <c r="J19" s="2825" t="s">
        <v>2993</v>
      </c>
      <c r="K19" s="2041" t="s">
        <v>2994</v>
      </c>
      <c r="L19" s="2037" t="s">
        <v>179</v>
      </c>
      <c r="M19" s="2818">
        <v>1430</v>
      </c>
      <c r="N19" s="2820"/>
    </row>
    <row r="20" spans="2:14" ht="22.5" customHeight="1" x14ac:dyDescent="0.25">
      <c r="B20" s="2035" t="s">
        <v>2995</v>
      </c>
      <c r="C20" s="2041" t="s">
        <v>2996</v>
      </c>
      <c r="D20" s="2037" t="s">
        <v>179</v>
      </c>
      <c r="E20" s="2818">
        <v>800</v>
      </c>
      <c r="F20" s="2819"/>
      <c r="G20" s="2819"/>
      <c r="H20" s="2820"/>
      <c r="J20" s="2826"/>
      <c r="K20" s="2041" t="s">
        <v>2997</v>
      </c>
      <c r="L20" s="2037"/>
      <c r="M20" s="2818">
        <v>1550</v>
      </c>
      <c r="N20" s="2820"/>
    </row>
    <row r="21" spans="2:14" ht="24" x14ac:dyDescent="0.25">
      <c r="B21" s="2035" t="s">
        <v>2998</v>
      </c>
      <c r="C21" s="2036" t="s">
        <v>525</v>
      </c>
      <c r="D21" s="2037" t="s">
        <v>179</v>
      </c>
      <c r="E21" s="2818">
        <v>450</v>
      </c>
      <c r="F21" s="2819"/>
      <c r="G21" s="2819"/>
      <c r="H21" s="2820"/>
      <c r="J21" s="2825" t="s">
        <v>2999</v>
      </c>
      <c r="K21" s="2041" t="s">
        <v>2994</v>
      </c>
      <c r="L21" s="2037" t="s">
        <v>179</v>
      </c>
      <c r="M21" s="2818">
        <v>2930</v>
      </c>
      <c r="N21" s="2820"/>
    </row>
    <row r="22" spans="2:14" ht="24.75" customHeight="1" x14ac:dyDescent="0.25">
      <c r="B22" s="2035" t="s">
        <v>3000</v>
      </c>
      <c r="C22" s="2036" t="s">
        <v>3001</v>
      </c>
      <c r="D22" s="2037" t="s">
        <v>179</v>
      </c>
      <c r="E22" s="2818">
        <v>1100</v>
      </c>
      <c r="F22" s="2819"/>
      <c r="G22" s="2819"/>
      <c r="H22" s="2820"/>
      <c r="J22" s="2826"/>
      <c r="K22" s="2041" t="s">
        <v>2997</v>
      </c>
      <c r="L22" s="2037"/>
      <c r="M22" s="2818">
        <v>3220</v>
      </c>
      <c r="N22" s="2820"/>
    </row>
    <row r="23" spans="2:14" ht="15" x14ac:dyDescent="0.25">
      <c r="B23" s="2824" t="s">
        <v>3002</v>
      </c>
      <c r="C23" s="2824"/>
      <c r="D23" s="2824"/>
      <c r="E23" s="2824"/>
      <c r="F23" s="2824"/>
      <c r="G23" s="2824"/>
      <c r="H23" s="2824"/>
      <c r="J23" s="2843" t="s">
        <v>3003</v>
      </c>
      <c r="K23" s="2830" t="s">
        <v>3004</v>
      </c>
      <c r="L23" s="2832" t="s">
        <v>179</v>
      </c>
      <c r="M23" s="2834">
        <v>3500</v>
      </c>
      <c r="N23" s="2836"/>
    </row>
    <row r="24" spans="2:14" ht="12" customHeight="1" x14ac:dyDescent="0.25">
      <c r="B24" s="2825" t="s">
        <v>3005</v>
      </c>
      <c r="C24" s="2830" t="s">
        <v>17</v>
      </c>
      <c r="D24" s="2832" t="s">
        <v>179</v>
      </c>
      <c r="E24" s="2834">
        <v>90</v>
      </c>
      <c r="F24" s="2835"/>
      <c r="G24" s="2835"/>
      <c r="H24" s="2836"/>
      <c r="J24" s="2844"/>
      <c r="K24" s="2831"/>
      <c r="L24" s="2833"/>
      <c r="M24" s="2837"/>
      <c r="N24" s="2839"/>
    </row>
    <row r="25" spans="2:14" ht="25.5" x14ac:dyDescent="0.25">
      <c r="B25" s="2826"/>
      <c r="C25" s="2831"/>
      <c r="D25" s="2833"/>
      <c r="E25" s="2837"/>
      <c r="F25" s="2838"/>
      <c r="G25" s="2838"/>
      <c r="H25" s="2839"/>
      <c r="J25" s="2035" t="s">
        <v>3006</v>
      </c>
      <c r="K25" s="2036" t="s">
        <v>17</v>
      </c>
      <c r="L25" s="2037" t="s">
        <v>179</v>
      </c>
      <c r="M25" s="2818">
        <v>850</v>
      </c>
      <c r="N25" s="2820"/>
    </row>
    <row r="26" spans="2:14" ht="24.75" customHeight="1" x14ac:dyDescent="0.25">
      <c r="B26" s="2840" t="s">
        <v>3007</v>
      </c>
      <c r="C26" s="2841"/>
      <c r="D26" s="2841"/>
      <c r="E26" s="2841"/>
      <c r="F26" s="2841"/>
      <c r="G26" s="2841"/>
      <c r="H26" s="2842"/>
      <c r="J26" s="2035" t="s">
        <v>3008</v>
      </c>
      <c r="K26" s="2036" t="s">
        <v>17</v>
      </c>
      <c r="L26" s="2037" t="s">
        <v>179</v>
      </c>
      <c r="M26" s="2818">
        <v>100</v>
      </c>
      <c r="N26" s="2820"/>
    </row>
    <row r="27" spans="2:14" ht="24" x14ac:dyDescent="0.25">
      <c r="B27" s="2035" t="s">
        <v>3009</v>
      </c>
      <c r="C27" s="2036" t="s">
        <v>17</v>
      </c>
      <c r="D27" s="2037" t="s">
        <v>179</v>
      </c>
      <c r="E27" s="2818">
        <v>30</v>
      </c>
      <c r="F27" s="2819"/>
      <c r="G27" s="2819"/>
      <c r="H27" s="2820"/>
      <c r="J27" s="2035" t="s">
        <v>3010</v>
      </c>
      <c r="K27" s="2041" t="s">
        <v>3011</v>
      </c>
      <c r="L27" s="2037" t="s">
        <v>179</v>
      </c>
      <c r="M27" s="2818">
        <v>1300</v>
      </c>
      <c r="N27" s="2820"/>
    </row>
    <row r="28" spans="2:14" ht="25.5" x14ac:dyDescent="0.25">
      <c r="B28" s="2035" t="s">
        <v>3012</v>
      </c>
      <c r="C28" s="2036" t="s">
        <v>3013</v>
      </c>
      <c r="D28" s="2037" t="s">
        <v>179</v>
      </c>
      <c r="E28" s="2818">
        <v>1300</v>
      </c>
      <c r="F28" s="2819"/>
      <c r="G28" s="2819"/>
      <c r="H28" s="2820"/>
      <c r="J28" s="2035" t="s">
        <v>3014</v>
      </c>
      <c r="K28" s="2036" t="s">
        <v>17</v>
      </c>
      <c r="L28" s="2037" t="s">
        <v>179</v>
      </c>
      <c r="M28" s="2818">
        <v>800</v>
      </c>
      <c r="N28" s="2820"/>
    </row>
    <row r="29" spans="2:14" ht="24.75" customHeight="1" x14ac:dyDescent="0.25">
      <c r="B29" s="2035" t="s">
        <v>3015</v>
      </c>
      <c r="C29" s="2036" t="s">
        <v>17</v>
      </c>
      <c r="D29" s="2037" t="s">
        <v>179</v>
      </c>
      <c r="E29" s="2818">
        <v>90</v>
      </c>
      <c r="F29" s="2819"/>
      <c r="G29" s="2819"/>
      <c r="H29" s="2820"/>
      <c r="J29" s="2035" t="s">
        <v>3016</v>
      </c>
      <c r="K29" s="2036" t="s">
        <v>17</v>
      </c>
      <c r="L29" s="2037" t="s">
        <v>179</v>
      </c>
      <c r="M29" s="2818">
        <v>200</v>
      </c>
      <c r="N29" s="2820"/>
    </row>
    <row r="30" spans="2:14" ht="15" x14ac:dyDescent="0.25">
      <c r="B30" s="2035" t="s">
        <v>3017</v>
      </c>
      <c r="C30" s="2036" t="s">
        <v>17</v>
      </c>
      <c r="D30" s="2037" t="s">
        <v>179</v>
      </c>
      <c r="E30" s="2818">
        <v>15</v>
      </c>
      <c r="F30" s="2819"/>
      <c r="G30" s="2819"/>
      <c r="H30" s="2820"/>
      <c r="J30" s="2824" t="s">
        <v>3018</v>
      </c>
      <c r="K30" s="2824"/>
      <c r="L30" s="2824"/>
      <c r="M30" s="2824"/>
      <c r="N30" s="2824"/>
    </row>
    <row r="31" spans="2:14" ht="15" x14ac:dyDescent="0.25">
      <c r="B31" s="2824" t="s">
        <v>3019</v>
      </c>
      <c r="C31" s="2824"/>
      <c r="D31" s="2824"/>
      <c r="E31" s="2824"/>
      <c r="F31" s="2824"/>
      <c r="G31" s="2824"/>
      <c r="H31" s="2824"/>
      <c r="J31" s="2825" t="s">
        <v>3020</v>
      </c>
      <c r="K31" s="2042"/>
      <c r="L31" s="2042"/>
      <c r="M31" s="2043"/>
      <c r="N31" s="2044"/>
    </row>
    <row r="32" spans="2:14" ht="9.75" customHeight="1" x14ac:dyDescent="0.25">
      <c r="B32" s="2825" t="s">
        <v>3021</v>
      </c>
      <c r="C32" s="2827" t="s">
        <v>3022</v>
      </c>
      <c r="D32" s="2828" t="s">
        <v>179</v>
      </c>
      <c r="E32" s="2829">
        <v>90</v>
      </c>
      <c r="F32" s="2829"/>
      <c r="G32" s="2829"/>
      <c r="H32" s="2829"/>
      <c r="J32" s="2826"/>
      <c r="K32" s="2036" t="s">
        <v>17</v>
      </c>
      <c r="L32" s="2037" t="s">
        <v>3023</v>
      </c>
      <c r="M32" s="2818">
        <v>5000</v>
      </c>
      <c r="N32" s="2820"/>
    </row>
    <row r="33" spans="2:14" ht="36" customHeight="1" x14ac:dyDescent="0.25">
      <c r="B33" s="2826"/>
      <c r="C33" s="2827"/>
      <c r="D33" s="2828"/>
      <c r="E33" s="2829"/>
      <c r="F33" s="2829"/>
      <c r="G33" s="2829"/>
      <c r="H33" s="2829"/>
      <c r="J33" s="2035" t="s">
        <v>3024</v>
      </c>
      <c r="K33" s="2036" t="s">
        <v>17</v>
      </c>
      <c r="L33" s="2037" t="s">
        <v>3023</v>
      </c>
      <c r="M33" s="2818">
        <v>12500</v>
      </c>
      <c r="N33" s="2820"/>
    </row>
    <row r="34" spans="2:14" ht="25.5" x14ac:dyDescent="0.25">
      <c r="B34" s="1163" t="s">
        <v>3025</v>
      </c>
      <c r="C34" s="2036" t="s">
        <v>3022</v>
      </c>
      <c r="D34" s="2037" t="s">
        <v>179</v>
      </c>
      <c r="E34" s="2818">
        <v>200</v>
      </c>
      <c r="F34" s="2819"/>
      <c r="G34" s="2819"/>
      <c r="H34" s="2820"/>
      <c r="J34" s="2035" t="s">
        <v>3026</v>
      </c>
      <c r="K34" s="2036" t="s">
        <v>17</v>
      </c>
      <c r="L34" s="2037" t="s">
        <v>3023</v>
      </c>
      <c r="M34" s="2818">
        <v>10000</v>
      </c>
      <c r="N34" s="2820"/>
    </row>
    <row r="35" spans="2:14" ht="15" x14ac:dyDescent="0.25">
      <c r="B35" s="2035" t="s">
        <v>3027</v>
      </c>
      <c r="C35" s="2036" t="s">
        <v>3022</v>
      </c>
      <c r="D35" s="2037" t="s">
        <v>179</v>
      </c>
      <c r="E35" s="2818">
        <v>150</v>
      </c>
      <c r="F35" s="2819"/>
      <c r="G35" s="2819"/>
      <c r="H35" s="2820"/>
      <c r="J35" s="2824" t="s">
        <v>3028</v>
      </c>
      <c r="K35" s="2824"/>
      <c r="L35" s="2824"/>
      <c r="M35" s="2824"/>
      <c r="N35" s="2824"/>
    </row>
    <row r="36" spans="2:14" ht="25.5" x14ac:dyDescent="0.25">
      <c r="B36" s="2035" t="s">
        <v>3029</v>
      </c>
      <c r="C36" s="2036" t="s">
        <v>3030</v>
      </c>
      <c r="D36" s="2037" t="s">
        <v>179</v>
      </c>
      <c r="E36" s="2818">
        <v>400</v>
      </c>
      <c r="F36" s="2819"/>
      <c r="G36" s="2819"/>
      <c r="H36" s="2820"/>
      <c r="J36" s="2035" t="s">
        <v>3031</v>
      </c>
      <c r="K36" s="2036" t="s">
        <v>3032</v>
      </c>
      <c r="L36" s="2037" t="s">
        <v>179</v>
      </c>
      <c r="M36" s="2818">
        <v>7700</v>
      </c>
      <c r="N36" s="2820"/>
    </row>
    <row r="37" spans="2:14" s="2045" customFormat="1" ht="25.5" x14ac:dyDescent="0.25">
      <c r="B37" s="2821" t="s">
        <v>3033</v>
      </c>
      <c r="C37" s="2822"/>
      <c r="D37" s="2822"/>
      <c r="E37" s="2822"/>
      <c r="F37" s="2822"/>
      <c r="G37" s="2822"/>
      <c r="H37" s="2823"/>
      <c r="J37" s="2035" t="s">
        <v>3034</v>
      </c>
      <c r="K37" s="2036" t="s">
        <v>3032</v>
      </c>
      <c r="L37" s="2037" t="s">
        <v>179</v>
      </c>
      <c r="M37" s="2818">
        <v>9300</v>
      </c>
      <c r="N37" s="2820"/>
    </row>
    <row r="38" spans="2:14" ht="38.25" x14ac:dyDescent="0.25">
      <c r="B38" s="2035" t="s">
        <v>3035</v>
      </c>
      <c r="C38" s="2036" t="s">
        <v>2965</v>
      </c>
      <c r="D38" s="2037" t="s">
        <v>179</v>
      </c>
      <c r="E38" s="2818">
        <v>700</v>
      </c>
      <c r="F38" s="2819"/>
      <c r="G38" s="2819"/>
      <c r="H38" s="2820"/>
      <c r="J38" s="2035" t="s">
        <v>3036</v>
      </c>
      <c r="K38" s="2036" t="s">
        <v>3032</v>
      </c>
      <c r="L38" s="2037" t="s">
        <v>179</v>
      </c>
      <c r="M38" s="2818">
        <v>12300</v>
      </c>
      <c r="N38" s="2820"/>
    </row>
    <row r="39" spans="2:14" x14ac:dyDescent="0.25">
      <c r="B39" s="2821" t="s">
        <v>3037</v>
      </c>
      <c r="C39" s="2822"/>
      <c r="D39" s="2822"/>
      <c r="E39" s="2822"/>
      <c r="F39" s="2822"/>
      <c r="G39" s="2822"/>
      <c r="H39" s="2823"/>
      <c r="J39" s="2035" t="s">
        <v>3038</v>
      </c>
      <c r="K39" s="2036" t="s">
        <v>3039</v>
      </c>
      <c r="L39" s="2037" t="s">
        <v>179</v>
      </c>
      <c r="M39" s="2818">
        <v>8025</v>
      </c>
      <c r="N39" s="2820"/>
    </row>
    <row r="40" spans="2:14" ht="15" x14ac:dyDescent="0.25">
      <c r="B40" s="2824" t="s">
        <v>3040</v>
      </c>
      <c r="C40" s="2824"/>
      <c r="D40" s="2824"/>
      <c r="E40" s="2824"/>
      <c r="F40" s="2824"/>
      <c r="G40" s="2824"/>
      <c r="H40" s="2824"/>
      <c r="J40" s="2825" t="s">
        <v>3041</v>
      </c>
      <c r="K40" s="2036"/>
      <c r="L40" s="2037"/>
      <c r="M40" s="2046"/>
      <c r="N40" s="2047"/>
    </row>
    <row r="41" spans="2:14" ht="9.75" customHeight="1" x14ac:dyDescent="0.25">
      <c r="B41" s="2825" t="s">
        <v>3042</v>
      </c>
      <c r="C41" s="2827" t="s">
        <v>3043</v>
      </c>
      <c r="D41" s="2828" t="s">
        <v>179</v>
      </c>
      <c r="E41" s="2829">
        <v>250</v>
      </c>
      <c r="F41" s="2829"/>
      <c r="G41" s="2829"/>
      <c r="H41" s="2829"/>
      <c r="J41" s="2826"/>
      <c r="K41" s="2036" t="s">
        <v>3044</v>
      </c>
      <c r="L41" s="2037" t="s">
        <v>179</v>
      </c>
      <c r="M41" s="2818">
        <v>900</v>
      </c>
      <c r="N41" s="2820"/>
    </row>
    <row r="42" spans="2:14" ht="25.5" x14ac:dyDescent="0.25">
      <c r="B42" s="2826"/>
      <c r="C42" s="2827"/>
      <c r="D42" s="2828"/>
      <c r="E42" s="2829"/>
      <c r="F42" s="2829"/>
      <c r="G42" s="2829"/>
      <c r="H42" s="2829"/>
      <c r="J42" s="2035" t="s">
        <v>3045</v>
      </c>
      <c r="K42" s="2036" t="s">
        <v>17</v>
      </c>
      <c r="L42" s="2037" t="s">
        <v>179</v>
      </c>
      <c r="M42" s="2818">
        <v>1390</v>
      </c>
      <c r="N42" s="2820"/>
    </row>
    <row r="43" spans="2:14" ht="25.5" x14ac:dyDescent="0.25">
      <c r="B43" s="2035" t="s">
        <v>3046</v>
      </c>
      <c r="C43" s="2036" t="s">
        <v>2965</v>
      </c>
      <c r="D43" s="2037" t="s">
        <v>179</v>
      </c>
      <c r="E43" s="2818">
        <v>750</v>
      </c>
      <c r="F43" s="2819"/>
      <c r="G43" s="2819"/>
      <c r="H43" s="2820"/>
    </row>
    <row r="44" spans="2:14" ht="15" x14ac:dyDescent="0.25">
      <c r="B44" s="2824" t="s">
        <v>3047</v>
      </c>
      <c r="C44" s="2824"/>
      <c r="D44" s="2824"/>
      <c r="E44" s="2824"/>
      <c r="F44" s="2824"/>
      <c r="G44" s="2824"/>
      <c r="H44" s="2824"/>
    </row>
    <row r="45" spans="2:14" x14ac:dyDescent="0.25">
      <c r="B45" s="2035" t="s">
        <v>3048</v>
      </c>
      <c r="C45" s="2036" t="s">
        <v>2989</v>
      </c>
      <c r="D45" s="2037" t="s">
        <v>179</v>
      </c>
      <c r="E45" s="2818">
        <v>11500</v>
      </c>
      <c r="F45" s="2819"/>
      <c r="G45" s="2819"/>
      <c r="H45" s="2820"/>
    </row>
    <row r="46" spans="2:14" ht="12.75" customHeight="1" x14ac:dyDescent="0.25">
      <c r="B46" s="2035" t="s">
        <v>3049</v>
      </c>
      <c r="C46" s="2036" t="s">
        <v>2989</v>
      </c>
      <c r="D46" s="2037" t="s">
        <v>179</v>
      </c>
      <c r="E46" s="2818">
        <v>7500</v>
      </c>
      <c r="F46" s="2819"/>
      <c r="G46" s="2819"/>
      <c r="H46" s="2820"/>
    </row>
    <row r="47" spans="2:14" ht="13.5" customHeight="1" x14ac:dyDescent="0.25">
      <c r="B47" s="2035" t="s">
        <v>3050</v>
      </c>
      <c r="C47" s="2036" t="s">
        <v>2989</v>
      </c>
      <c r="D47" s="2037" t="s">
        <v>179</v>
      </c>
      <c r="E47" s="2818">
        <v>5500</v>
      </c>
      <c r="F47" s="2819"/>
      <c r="G47" s="2819"/>
      <c r="H47" s="2820"/>
    </row>
    <row r="48" spans="2:14" x14ac:dyDescent="0.25">
      <c r="B48" s="2035" t="s">
        <v>3051</v>
      </c>
      <c r="C48" s="2036" t="s">
        <v>2989</v>
      </c>
      <c r="D48" s="2037" t="s">
        <v>179</v>
      </c>
      <c r="E48" s="2818">
        <v>12500</v>
      </c>
      <c r="F48" s="2819"/>
      <c r="G48" s="2819"/>
      <c r="H48" s="2820"/>
    </row>
    <row r="49" spans="2:16" x14ac:dyDescent="0.25">
      <c r="B49" s="2821" t="s">
        <v>3052</v>
      </c>
      <c r="C49" s="2822"/>
      <c r="D49" s="2822"/>
      <c r="E49" s="2822"/>
      <c r="F49" s="2822"/>
      <c r="G49" s="2822"/>
      <c r="H49" s="2823"/>
      <c r="J49" s="2817" t="s">
        <v>2585</v>
      </c>
      <c r="K49" s="2817"/>
      <c r="L49" s="2817"/>
      <c r="M49" s="2817"/>
      <c r="N49" s="2817"/>
      <c r="O49" s="2817"/>
      <c r="P49" s="2817"/>
    </row>
    <row r="50" spans="2:16" x14ac:dyDescent="0.25">
      <c r="B50" s="2035" t="s">
        <v>3053</v>
      </c>
      <c r="C50" s="2036" t="s">
        <v>3054</v>
      </c>
      <c r="D50" s="2037" t="s">
        <v>179</v>
      </c>
      <c r="E50" s="2818">
        <v>1600</v>
      </c>
      <c r="F50" s="2819"/>
      <c r="G50" s="2819"/>
      <c r="H50" s="2820"/>
      <c r="J50" s="2817" t="s">
        <v>2586</v>
      </c>
      <c r="K50" s="2817"/>
      <c r="L50" s="2817"/>
      <c r="M50" s="2817"/>
      <c r="N50" s="2817"/>
      <c r="O50" s="2817"/>
      <c r="P50" s="2817"/>
    </row>
    <row r="51" spans="2:16" ht="24" customHeight="1" x14ac:dyDescent="0.25">
      <c r="B51" s="2035" t="s">
        <v>3055</v>
      </c>
      <c r="C51" s="2036" t="s">
        <v>2965</v>
      </c>
      <c r="D51" s="2037" t="s">
        <v>179</v>
      </c>
      <c r="E51" s="2818">
        <v>600</v>
      </c>
      <c r="F51" s="2819"/>
      <c r="G51" s="2819"/>
      <c r="H51" s="2820"/>
      <c r="J51" s="2817" t="s">
        <v>156</v>
      </c>
      <c r="K51" s="2817"/>
      <c r="L51" s="2817"/>
      <c r="M51" s="2817"/>
      <c r="N51" s="2817"/>
      <c r="O51" s="2817"/>
      <c r="P51" s="2817"/>
    </row>
    <row r="52" spans="2:16" x14ac:dyDescent="0.25">
      <c r="B52" s="2821" t="s">
        <v>3056</v>
      </c>
      <c r="C52" s="2822"/>
      <c r="D52" s="2822"/>
      <c r="E52" s="2822"/>
      <c r="F52" s="2822"/>
      <c r="G52" s="2822"/>
      <c r="H52" s="2823"/>
    </row>
    <row r="53" spans="2:16" x14ac:dyDescent="0.25">
      <c r="B53" s="2035" t="s">
        <v>3057</v>
      </c>
      <c r="C53" s="2036" t="s">
        <v>3058</v>
      </c>
      <c r="D53" s="2037" t="s">
        <v>179</v>
      </c>
      <c r="E53" s="2818">
        <v>490</v>
      </c>
      <c r="F53" s="2819"/>
      <c r="G53" s="2819"/>
      <c r="H53" s="2820"/>
    </row>
    <row r="54" spans="2:16" x14ac:dyDescent="0.25">
      <c r="B54" s="2821" t="s">
        <v>3059</v>
      </c>
      <c r="C54" s="2822"/>
      <c r="D54" s="2822"/>
      <c r="E54" s="2822"/>
      <c r="F54" s="2822"/>
      <c r="G54" s="2822"/>
      <c r="H54" s="2823"/>
    </row>
    <row r="55" spans="2:16" x14ac:dyDescent="0.25">
      <c r="B55" s="2035" t="s">
        <v>3060</v>
      </c>
      <c r="C55" s="2036"/>
      <c r="D55" s="2037" t="s">
        <v>179</v>
      </c>
      <c r="E55" s="2818">
        <v>18</v>
      </c>
      <c r="F55" s="2819"/>
      <c r="G55" s="2819"/>
      <c r="H55" s="2820"/>
    </row>
    <row r="56" spans="2:16" ht="23.25" customHeight="1" x14ac:dyDescent="0.25">
      <c r="B56" s="2035" t="s">
        <v>3061</v>
      </c>
      <c r="C56" s="2036" t="s">
        <v>2965</v>
      </c>
      <c r="D56" s="2037" t="s">
        <v>179</v>
      </c>
      <c r="E56" s="2818">
        <v>1200</v>
      </c>
      <c r="F56" s="2819"/>
      <c r="G56" s="2819"/>
      <c r="H56" s="2820"/>
    </row>
  </sheetData>
  <mergeCells count="110">
    <mergeCell ref="B1:N1"/>
    <mergeCell ref="B2:N2"/>
    <mergeCell ref="B4:B5"/>
    <mergeCell ref="C4:C5"/>
    <mergeCell ref="D4:D5"/>
    <mergeCell ref="E4:F4"/>
    <mergeCell ref="J4:J5"/>
    <mergeCell ref="K4:K5"/>
    <mergeCell ref="L4:L5"/>
    <mergeCell ref="B10:C10"/>
    <mergeCell ref="M10:N10"/>
    <mergeCell ref="B11:C11"/>
    <mergeCell ref="J11:N11"/>
    <mergeCell ref="B12:C12"/>
    <mergeCell ref="M12:N12"/>
    <mergeCell ref="B6:H6"/>
    <mergeCell ref="J6:N6"/>
    <mergeCell ref="M7:N7"/>
    <mergeCell ref="B8:H8"/>
    <mergeCell ref="M8:N8"/>
    <mergeCell ref="B9:C9"/>
    <mergeCell ref="M9:N9"/>
    <mergeCell ref="M17:N17"/>
    <mergeCell ref="E18:H18"/>
    <mergeCell ref="M18:N18"/>
    <mergeCell ref="E19:H19"/>
    <mergeCell ref="J19:J20"/>
    <mergeCell ref="M19:N19"/>
    <mergeCell ref="E20:H20"/>
    <mergeCell ref="M20:N20"/>
    <mergeCell ref="B13:C13"/>
    <mergeCell ref="J13:N13"/>
    <mergeCell ref="B14:C14"/>
    <mergeCell ref="K14:K17"/>
    <mergeCell ref="M14:N14"/>
    <mergeCell ref="B15:C15"/>
    <mergeCell ref="M15:N15"/>
    <mergeCell ref="B16:C16"/>
    <mergeCell ref="M16:N16"/>
    <mergeCell ref="B17:H17"/>
    <mergeCell ref="E21:H21"/>
    <mergeCell ref="J21:J22"/>
    <mergeCell ref="M21:N21"/>
    <mergeCell ref="E22:H22"/>
    <mergeCell ref="M22:N22"/>
    <mergeCell ref="B23:H23"/>
    <mergeCell ref="J23:J24"/>
    <mergeCell ref="K23:K24"/>
    <mergeCell ref="L23:L24"/>
    <mergeCell ref="M23:N24"/>
    <mergeCell ref="E27:H27"/>
    <mergeCell ref="M27:N27"/>
    <mergeCell ref="E28:H28"/>
    <mergeCell ref="M28:N28"/>
    <mergeCell ref="E29:H29"/>
    <mergeCell ref="M29:N29"/>
    <mergeCell ref="B24:B25"/>
    <mergeCell ref="C24:C25"/>
    <mergeCell ref="D24:D25"/>
    <mergeCell ref="E24:H25"/>
    <mergeCell ref="M25:N25"/>
    <mergeCell ref="B26:H26"/>
    <mergeCell ref="M26:N26"/>
    <mergeCell ref="E30:H30"/>
    <mergeCell ref="J30:N30"/>
    <mergeCell ref="B31:H31"/>
    <mergeCell ref="J31:J32"/>
    <mergeCell ref="B32:B33"/>
    <mergeCell ref="C32:C33"/>
    <mergeCell ref="D32:D33"/>
    <mergeCell ref="E32:H33"/>
    <mergeCell ref="M32:N32"/>
    <mergeCell ref="M33:N33"/>
    <mergeCell ref="B37:H37"/>
    <mergeCell ref="M37:N37"/>
    <mergeCell ref="E38:H38"/>
    <mergeCell ref="M38:N38"/>
    <mergeCell ref="B39:H39"/>
    <mergeCell ref="M39:N39"/>
    <mergeCell ref="E34:H34"/>
    <mergeCell ref="M34:N34"/>
    <mergeCell ref="E35:H35"/>
    <mergeCell ref="J35:N35"/>
    <mergeCell ref="E36:H36"/>
    <mergeCell ref="M36:N36"/>
    <mergeCell ref="M41:N41"/>
    <mergeCell ref="M42:N42"/>
    <mergeCell ref="E43:H43"/>
    <mergeCell ref="B44:H44"/>
    <mergeCell ref="E45:H45"/>
    <mergeCell ref="E46:H46"/>
    <mergeCell ref="B40:H40"/>
    <mergeCell ref="J40:J41"/>
    <mergeCell ref="B41:B42"/>
    <mergeCell ref="C41:C42"/>
    <mergeCell ref="D41:D42"/>
    <mergeCell ref="E41:H42"/>
    <mergeCell ref="J51:P51"/>
    <mergeCell ref="E53:H53"/>
    <mergeCell ref="B54:H54"/>
    <mergeCell ref="E55:H55"/>
    <mergeCell ref="E56:H56"/>
    <mergeCell ref="J49:P49"/>
    <mergeCell ref="J50:P50"/>
    <mergeCell ref="E47:H47"/>
    <mergeCell ref="E48:H48"/>
    <mergeCell ref="B49:H49"/>
    <mergeCell ref="E50:H50"/>
    <mergeCell ref="E51:H51"/>
    <mergeCell ref="B52:H52"/>
  </mergeCells>
  <printOptions horizontalCentered="1"/>
  <pageMargins left="0" right="0" top="0" bottom="0" header="0.31496062992125984" footer="0.31496062992125984"/>
  <pageSetup paperSize="9" scale="54" fitToHeight="5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95"/>
  <sheetViews>
    <sheetView topLeftCell="A64" zoomScale="50" zoomScaleNormal="50" zoomScaleSheetLayoutView="50" workbookViewId="0">
      <selection activeCell="A58" sqref="A58"/>
    </sheetView>
  </sheetViews>
  <sheetFormatPr defaultRowHeight="12.75" x14ac:dyDescent="0.2"/>
  <cols>
    <col min="1" max="1" width="94.7109375" style="82" customWidth="1"/>
    <col min="2" max="2" width="18.140625" style="82" customWidth="1"/>
    <col min="3" max="3" width="13.28515625" style="82" customWidth="1"/>
    <col min="4" max="4" width="14.140625" style="82" customWidth="1"/>
    <col min="5" max="5" width="14.28515625" style="82" customWidth="1"/>
    <col min="6" max="6" width="22.42578125" style="82" customWidth="1"/>
    <col min="7" max="9" width="21.85546875" style="82" customWidth="1"/>
    <col min="10" max="10" width="21.42578125" style="82" customWidth="1"/>
    <col min="11" max="11" width="16.28515625" style="82" customWidth="1"/>
    <col min="12" max="12" width="14" style="82" customWidth="1"/>
    <col min="13" max="13" width="22.5703125" style="1910" customWidth="1"/>
    <col min="14" max="14" width="19.42578125" style="82" customWidth="1"/>
    <col min="15" max="15" width="20.5703125" style="1910" customWidth="1"/>
    <col min="16" max="16" width="21.7109375" style="82" customWidth="1"/>
    <col min="17" max="17" width="13.42578125" style="82" customWidth="1"/>
    <col min="18" max="18" width="12.85546875" style="82" customWidth="1"/>
    <col min="19" max="19" width="12.28515625" style="82" customWidth="1"/>
    <col min="20" max="20" width="13.5703125" style="82" customWidth="1"/>
    <col min="21" max="21" width="19.28515625" style="82" customWidth="1"/>
    <col min="22" max="16384" width="9.140625" style="82"/>
  </cols>
  <sheetData>
    <row r="1" spans="1:21" x14ac:dyDescent="0.2">
      <c r="A1" s="2861"/>
      <c r="B1" s="2861"/>
      <c r="C1" s="2861"/>
      <c r="D1" s="2861"/>
      <c r="E1" s="2861"/>
      <c r="F1" s="2861"/>
      <c r="G1" s="2861"/>
      <c r="H1" s="2861"/>
      <c r="I1" s="2861"/>
      <c r="J1" s="2861"/>
      <c r="K1" s="2861"/>
      <c r="L1" s="2861"/>
      <c r="M1" s="2861"/>
      <c r="N1" s="2861"/>
      <c r="O1" s="2861"/>
      <c r="P1" s="2861"/>
      <c r="Q1" s="2861"/>
      <c r="R1" s="2861"/>
      <c r="S1" s="2861"/>
      <c r="T1" s="2861"/>
    </row>
    <row r="2" spans="1:21" x14ac:dyDescent="0.2">
      <c r="A2" s="2861"/>
      <c r="B2" s="2861"/>
      <c r="C2" s="2861"/>
      <c r="D2" s="2861"/>
      <c r="E2" s="2861"/>
      <c r="F2" s="2861"/>
      <c r="G2" s="2861"/>
      <c r="H2" s="2861"/>
      <c r="I2" s="2861"/>
      <c r="J2" s="2861"/>
      <c r="K2" s="2861"/>
      <c r="L2" s="2861"/>
      <c r="M2" s="2861"/>
      <c r="N2" s="2861"/>
      <c r="O2" s="2861"/>
      <c r="P2" s="2861"/>
      <c r="Q2" s="2861"/>
      <c r="R2" s="2861"/>
      <c r="S2" s="2861"/>
      <c r="T2" s="2861"/>
    </row>
    <row r="3" spans="1:21" x14ac:dyDescent="0.2">
      <c r="A3" s="2861"/>
      <c r="B3" s="2861"/>
      <c r="C3" s="2861"/>
      <c r="D3" s="2861"/>
      <c r="E3" s="2861"/>
      <c r="F3" s="2861"/>
      <c r="G3" s="2861"/>
      <c r="H3" s="2861"/>
      <c r="I3" s="2861"/>
      <c r="J3" s="2861"/>
      <c r="K3" s="2861"/>
      <c r="L3" s="2861"/>
      <c r="M3" s="2861"/>
      <c r="N3" s="2861"/>
      <c r="O3" s="2861"/>
      <c r="P3" s="2861"/>
      <c r="Q3" s="2861"/>
      <c r="R3" s="2861"/>
      <c r="S3" s="2861"/>
      <c r="T3" s="2861"/>
    </row>
    <row r="4" spans="1:21" x14ac:dyDescent="0.2">
      <c r="A4" s="2861"/>
      <c r="B4" s="2861"/>
      <c r="C4" s="2861"/>
      <c r="D4" s="2861"/>
      <c r="E4" s="2861"/>
      <c r="F4" s="2861"/>
      <c r="G4" s="2861"/>
      <c r="H4" s="2861"/>
      <c r="I4" s="2861"/>
      <c r="J4" s="2861"/>
      <c r="K4" s="2861"/>
      <c r="L4" s="2861"/>
      <c r="M4" s="2861"/>
      <c r="N4" s="2861"/>
      <c r="O4" s="2861"/>
      <c r="P4" s="2861"/>
      <c r="Q4" s="2861"/>
      <c r="R4" s="2861"/>
      <c r="S4" s="2861"/>
      <c r="T4" s="2861"/>
    </row>
    <row r="5" spans="1:21" x14ac:dyDescent="0.2">
      <c r="A5" s="2861"/>
      <c r="B5" s="2861"/>
      <c r="C5" s="2861"/>
      <c r="D5" s="2861"/>
      <c r="E5" s="2861"/>
      <c r="F5" s="2861"/>
      <c r="G5" s="2861"/>
      <c r="H5" s="2861"/>
      <c r="I5" s="2861"/>
      <c r="J5" s="2861"/>
      <c r="K5" s="2861"/>
      <c r="L5" s="2861"/>
      <c r="M5" s="2861"/>
      <c r="N5" s="2861"/>
      <c r="O5" s="2861"/>
      <c r="P5" s="2861"/>
      <c r="Q5" s="2861"/>
      <c r="R5" s="2861"/>
      <c r="S5" s="2861"/>
      <c r="T5" s="2861"/>
    </row>
    <row r="6" spans="1:21" x14ac:dyDescent="0.2">
      <c r="A6" s="2861"/>
      <c r="B6" s="2861"/>
      <c r="C6" s="2861"/>
      <c r="D6" s="2861"/>
      <c r="E6" s="2861"/>
      <c r="F6" s="2861"/>
      <c r="G6" s="2861"/>
      <c r="H6" s="2861"/>
      <c r="I6" s="2861"/>
      <c r="J6" s="2861"/>
      <c r="K6" s="2861"/>
      <c r="L6" s="2861"/>
      <c r="M6" s="2861"/>
      <c r="N6" s="2861"/>
      <c r="O6" s="2861"/>
      <c r="P6" s="2861"/>
      <c r="Q6" s="2861"/>
      <c r="R6" s="2861"/>
      <c r="S6" s="2861"/>
      <c r="T6" s="2861"/>
    </row>
    <row r="7" spans="1:21" x14ac:dyDescent="0.2">
      <c r="A7" s="2861"/>
      <c r="B7" s="2861"/>
      <c r="C7" s="2861"/>
      <c r="D7" s="2861"/>
      <c r="E7" s="2861"/>
      <c r="F7" s="2861"/>
      <c r="G7" s="2861"/>
      <c r="H7" s="2861"/>
      <c r="I7" s="2861"/>
      <c r="J7" s="2861"/>
      <c r="K7" s="2861"/>
      <c r="L7" s="2861"/>
      <c r="M7" s="2861"/>
      <c r="N7" s="2861"/>
      <c r="O7" s="2861"/>
      <c r="P7" s="2861"/>
      <c r="Q7" s="2861"/>
      <c r="R7" s="2861"/>
      <c r="S7" s="2861"/>
      <c r="T7" s="2861"/>
    </row>
    <row r="8" spans="1:21" x14ac:dyDescent="0.2">
      <c r="A8" s="2861"/>
      <c r="B8" s="2861"/>
      <c r="C8" s="2861"/>
      <c r="D8" s="2861"/>
      <c r="E8" s="2861"/>
      <c r="F8" s="2861"/>
      <c r="G8" s="2861"/>
      <c r="H8" s="2861"/>
      <c r="I8" s="2861"/>
      <c r="J8" s="2861"/>
      <c r="K8" s="2861"/>
      <c r="L8" s="2861"/>
      <c r="M8" s="2861"/>
      <c r="N8" s="2861"/>
      <c r="O8" s="2861"/>
      <c r="P8" s="2861"/>
      <c r="Q8" s="2861"/>
      <c r="R8" s="2861"/>
      <c r="S8" s="2861"/>
      <c r="T8" s="2861"/>
    </row>
    <row r="9" spans="1:21" ht="13.5" thickBot="1" x14ac:dyDescent="0.25">
      <c r="A9" s="2861"/>
      <c r="B9" s="2861"/>
      <c r="C9" s="2861"/>
      <c r="D9" s="2861"/>
      <c r="E9" s="2861"/>
      <c r="F9" s="2861"/>
      <c r="G9" s="2861"/>
      <c r="H9" s="2861"/>
      <c r="I9" s="2861"/>
      <c r="J9" s="2861"/>
      <c r="K9" s="2861"/>
      <c r="L9" s="2861"/>
      <c r="M9" s="2861"/>
      <c r="N9" s="2861"/>
      <c r="O9" s="2861"/>
      <c r="P9" s="2861"/>
      <c r="Q9" s="2861"/>
      <c r="R9" s="2861"/>
      <c r="S9" s="2861"/>
      <c r="T9" s="2861"/>
    </row>
    <row r="10" spans="1:21" s="83" customFormat="1" ht="27.75" customHeight="1" x14ac:dyDescent="0.5">
      <c r="A10" s="2862" t="s">
        <v>158</v>
      </c>
      <c r="B10" s="2862"/>
      <c r="C10" s="2862"/>
      <c r="D10" s="2862"/>
      <c r="E10" s="2862"/>
      <c r="F10" s="2862"/>
      <c r="G10" s="2862"/>
      <c r="H10" s="2862"/>
      <c r="I10" s="2862"/>
      <c r="J10" s="2862"/>
      <c r="K10" s="2862"/>
      <c r="L10" s="2862"/>
      <c r="M10" s="2862"/>
      <c r="N10" s="2862"/>
      <c r="O10" s="2862"/>
      <c r="P10" s="2862"/>
      <c r="Q10" s="2862"/>
      <c r="R10" s="2862"/>
      <c r="S10" s="2862"/>
      <c r="T10" s="2862"/>
      <c r="U10" s="892"/>
    </row>
    <row r="11" spans="1:21" s="83" customFormat="1" ht="18.75" customHeight="1" x14ac:dyDescent="0.3">
      <c r="A11" s="84"/>
      <c r="B11" s="1304"/>
      <c r="C11" s="85"/>
      <c r="D11" s="85"/>
      <c r="E11" s="85"/>
      <c r="F11" s="85"/>
      <c r="G11" s="85"/>
      <c r="H11" s="85"/>
      <c r="I11" s="85"/>
      <c r="J11" s="85"/>
      <c r="K11" s="86"/>
      <c r="L11" s="86"/>
      <c r="M11" s="1044"/>
      <c r="N11" s="86"/>
      <c r="O11" s="1044"/>
      <c r="P11" s="87" t="s">
        <v>1</v>
      </c>
      <c r="Q11" s="85"/>
      <c r="S11" s="2863">
        <v>42485</v>
      </c>
      <c r="T11" s="2863"/>
      <c r="U11" s="88"/>
    </row>
    <row r="12" spans="1:21" s="91" customFormat="1" ht="20.25" customHeight="1" x14ac:dyDescent="0.3">
      <c r="A12" s="2864" t="s">
        <v>159</v>
      </c>
      <c r="B12" s="2867" t="s">
        <v>2103</v>
      </c>
      <c r="C12" s="2867" t="s">
        <v>104</v>
      </c>
      <c r="D12" s="2870" t="s">
        <v>160</v>
      </c>
      <c r="E12" s="2871"/>
      <c r="F12" s="2876" t="s">
        <v>161</v>
      </c>
      <c r="G12" s="2877"/>
      <c r="H12" s="2877"/>
      <c r="I12" s="2877"/>
      <c r="J12" s="2877"/>
      <c r="K12" s="2877"/>
      <c r="L12" s="2877"/>
      <c r="M12" s="2877"/>
      <c r="N12" s="2877"/>
      <c r="O12" s="2877"/>
      <c r="P12" s="2877"/>
      <c r="Q12" s="2877"/>
      <c r="R12" s="2877"/>
      <c r="S12" s="2877"/>
      <c r="T12" s="2878"/>
      <c r="U12" s="89"/>
    </row>
    <row r="13" spans="1:21" s="91" customFormat="1" ht="20.25" customHeight="1" x14ac:dyDescent="0.3">
      <c r="A13" s="2865"/>
      <c r="B13" s="2868"/>
      <c r="C13" s="2868"/>
      <c r="D13" s="2872"/>
      <c r="E13" s="2873"/>
      <c r="F13" s="2881" t="s">
        <v>71</v>
      </c>
      <c r="G13" s="2880" t="s">
        <v>3416</v>
      </c>
      <c r="H13" s="2880"/>
      <c r="I13" s="2880"/>
      <c r="J13" s="2877" t="s">
        <v>3144</v>
      </c>
      <c r="K13" s="2877"/>
      <c r="L13" s="2877"/>
      <c r="M13" s="2877"/>
      <c r="N13" s="2877"/>
      <c r="O13" s="2877"/>
      <c r="P13" s="2877" t="s">
        <v>1669</v>
      </c>
      <c r="Q13" s="2877"/>
      <c r="R13" s="2877"/>
      <c r="S13" s="2877"/>
      <c r="T13" s="2878"/>
      <c r="U13" s="114"/>
    </row>
    <row r="14" spans="1:21" s="91" customFormat="1" ht="41.25" customHeight="1" x14ac:dyDescent="0.25">
      <c r="A14" s="2866"/>
      <c r="B14" s="2869"/>
      <c r="C14" s="2869"/>
      <c r="D14" s="2874"/>
      <c r="E14" s="2875"/>
      <c r="F14" s="2882"/>
      <c r="G14" s="2097" t="s">
        <v>2925</v>
      </c>
      <c r="H14" s="2097" t="s">
        <v>2348</v>
      </c>
      <c r="I14" s="2097" t="s">
        <v>3418</v>
      </c>
      <c r="J14" s="2097" t="s">
        <v>1769</v>
      </c>
      <c r="K14" s="2879" t="s">
        <v>164</v>
      </c>
      <c r="L14" s="2879"/>
      <c r="M14" s="2099" t="s">
        <v>166</v>
      </c>
      <c r="N14" s="2099" t="s">
        <v>1906</v>
      </c>
      <c r="O14" s="2099" t="s">
        <v>2104</v>
      </c>
      <c r="P14" s="2097" t="s">
        <v>165</v>
      </c>
      <c r="Q14" s="2880" t="s">
        <v>2927</v>
      </c>
      <c r="R14" s="2880"/>
      <c r="S14" s="2855" t="s">
        <v>3212</v>
      </c>
      <c r="T14" s="2856"/>
    </row>
    <row r="15" spans="1:21" s="1306" customFormat="1" ht="23.25" customHeight="1" x14ac:dyDescent="0.3">
      <c r="A15" s="2857" t="s">
        <v>167</v>
      </c>
      <c r="B15" s="2858"/>
      <c r="C15" s="2858"/>
      <c r="D15" s="2858"/>
      <c r="E15" s="2858"/>
      <c r="F15" s="2858"/>
      <c r="G15" s="2858"/>
      <c r="H15" s="2858"/>
      <c r="I15" s="2858"/>
      <c r="J15" s="2858"/>
      <c r="K15" s="2858"/>
      <c r="L15" s="2858"/>
      <c r="M15" s="2858"/>
      <c r="N15" s="2858"/>
      <c r="O15" s="2859"/>
      <c r="P15" s="2858"/>
      <c r="Q15" s="2858"/>
      <c r="R15" s="2858"/>
      <c r="S15" s="2858"/>
      <c r="T15" s="2860"/>
      <c r="U15" s="1305"/>
    </row>
    <row r="16" spans="1:21" s="1312" customFormat="1" ht="23.25" customHeight="1" x14ac:dyDescent="0.3">
      <c r="A16" s="1307" t="s">
        <v>168</v>
      </c>
      <c r="B16" s="1308">
        <v>312</v>
      </c>
      <c r="C16" s="1309" t="s">
        <v>169</v>
      </c>
      <c r="D16" s="2894" t="s">
        <v>170</v>
      </c>
      <c r="E16" s="2895"/>
      <c r="F16" s="1310">
        <f>ROUND(232*(1-C88),2)</f>
        <v>232</v>
      </c>
      <c r="G16" s="1310">
        <f>ROUND(283*(1-C88),2)</f>
        <v>283</v>
      </c>
      <c r="H16" s="1311">
        <f>ROUND(302*(1-C88),2)</f>
        <v>302</v>
      </c>
      <c r="I16" s="1310">
        <f>ROUND(368*(1-C88),2)</f>
        <v>368</v>
      </c>
      <c r="J16" s="1310">
        <f>ROUND(317*(1-C88),2)</f>
        <v>317</v>
      </c>
      <c r="K16" s="2891">
        <f>ROUND(326*(1-C88),2)</f>
        <v>326</v>
      </c>
      <c r="L16" s="2892"/>
      <c r="M16" s="1310">
        <f>ROUND(356*(1-C88),2)</f>
        <v>356</v>
      </c>
      <c r="N16" s="1905">
        <f>ROUND(451*(1-C88),2)</f>
        <v>451</v>
      </c>
      <c r="O16" s="2081">
        <f>ROUND(488*(1-C88),2)</f>
        <v>488</v>
      </c>
      <c r="P16" s="1310">
        <f>ROUND(357*(1-C88),2)</f>
        <v>357</v>
      </c>
      <c r="Q16" s="2893">
        <f>ROUND(412*(1-C88),2)</f>
        <v>412</v>
      </c>
      <c r="R16" s="2888"/>
      <c r="S16" s="2893" t="s">
        <v>17</v>
      </c>
      <c r="T16" s="2888"/>
    </row>
    <row r="17" spans="1:20" s="97" customFormat="1" ht="23.25" customHeight="1" x14ac:dyDescent="0.3">
      <c r="A17" s="95" t="s">
        <v>171</v>
      </c>
      <c r="B17" s="1313">
        <v>416</v>
      </c>
      <c r="C17" s="96" t="s">
        <v>169</v>
      </c>
      <c r="D17" s="2883" t="s">
        <v>172</v>
      </c>
      <c r="E17" s="2884"/>
      <c r="F17" s="1314">
        <f>ROUND(305*(1-C88),2)</f>
        <v>305</v>
      </c>
      <c r="G17" s="1314">
        <f>ROUND(372*(1-C88),2)</f>
        <v>372</v>
      </c>
      <c r="H17" s="1315">
        <f>ROUND(398*(1-C88),2)</f>
        <v>398</v>
      </c>
      <c r="I17" s="1314">
        <f>ROUND(485*(1-C88),2)</f>
        <v>485</v>
      </c>
      <c r="J17" s="1314">
        <f>ROUND(418*(1-C88),2)</f>
        <v>418</v>
      </c>
      <c r="K17" s="2885">
        <f>ROUND(430*(1-C88),2)</f>
        <v>430</v>
      </c>
      <c r="L17" s="2886"/>
      <c r="M17" s="1314">
        <f>ROUND(470*(1-C88),2)</f>
        <v>470</v>
      </c>
      <c r="N17" s="1906">
        <f>ROUND(597*(1-C88),2)</f>
        <v>597</v>
      </c>
      <c r="O17" s="2086">
        <f>ROUND(645*(1-C88),2)</f>
        <v>645</v>
      </c>
      <c r="P17" s="1314">
        <f>ROUND(471*(1-C88),2)</f>
        <v>471</v>
      </c>
      <c r="Q17" s="2887">
        <f>ROUND(544*(1-C88),2)</f>
        <v>544</v>
      </c>
      <c r="R17" s="2888"/>
      <c r="S17" s="2887" t="s">
        <v>17</v>
      </c>
      <c r="T17" s="2888"/>
    </row>
    <row r="18" spans="1:20" s="97" customFormat="1" ht="23.25" customHeight="1" x14ac:dyDescent="0.3">
      <c r="A18" s="98" t="s">
        <v>173</v>
      </c>
      <c r="B18" s="1316">
        <v>312.5</v>
      </c>
      <c r="C18" s="99" t="s">
        <v>169</v>
      </c>
      <c r="D18" s="2889" t="s">
        <v>172</v>
      </c>
      <c r="E18" s="2890"/>
      <c r="F18" s="1317">
        <f>ROUND(232*(1-C88),2)</f>
        <v>232</v>
      </c>
      <c r="G18" s="1317">
        <f>ROUND(283*(1-C88),2)</f>
        <v>283</v>
      </c>
      <c r="H18" s="1311">
        <f>ROUND(302*(1-C88),2)</f>
        <v>302</v>
      </c>
      <c r="I18" s="1317">
        <f>ROUND(368*(1-C88),2)</f>
        <v>368</v>
      </c>
      <c r="J18" s="1317">
        <f>ROUND(317*(1-C88),2)</f>
        <v>317</v>
      </c>
      <c r="K18" s="2891">
        <f>ROUND(326*(1-C88),2)</f>
        <v>326</v>
      </c>
      <c r="L18" s="2892"/>
      <c r="M18" s="1317">
        <f>ROUND(356*(1-C88),2)</f>
        <v>356</v>
      </c>
      <c r="N18" s="1905">
        <f>ROUND(451*(1-C88),2)</f>
        <v>451</v>
      </c>
      <c r="O18" s="2081">
        <f>ROUND(488*(1-C88),2)</f>
        <v>488</v>
      </c>
      <c r="P18" s="1317">
        <f>ROUND(357*(1-C88),2)</f>
        <v>357</v>
      </c>
      <c r="Q18" s="2893">
        <f>ROUND(412*(1-C88),2)</f>
        <v>412</v>
      </c>
      <c r="R18" s="2888"/>
      <c r="S18" s="2893" t="s">
        <v>17</v>
      </c>
      <c r="T18" s="2888"/>
    </row>
    <row r="19" spans="1:20" s="97" customFormat="1" ht="23.25" customHeight="1" x14ac:dyDescent="0.3">
      <c r="A19" s="95" t="s">
        <v>174</v>
      </c>
      <c r="B19" s="1313">
        <v>312</v>
      </c>
      <c r="C19" s="96" t="s">
        <v>169</v>
      </c>
      <c r="D19" s="2883" t="s">
        <v>170</v>
      </c>
      <c r="E19" s="2884"/>
      <c r="F19" s="1314">
        <f>ROUND(232*(1-C88),2)</f>
        <v>232</v>
      </c>
      <c r="G19" s="1314">
        <f>ROUND(283*(1-C88),2)</f>
        <v>283</v>
      </c>
      <c r="H19" s="1315">
        <f>ROUND(302*(1-C88),2)</f>
        <v>302</v>
      </c>
      <c r="I19" s="1314">
        <f>ROUND(368*(1-C88),2)</f>
        <v>368</v>
      </c>
      <c r="J19" s="1314">
        <f>ROUND(317*(1-C88),2)</f>
        <v>317</v>
      </c>
      <c r="K19" s="2885">
        <f>ROUND(326*(1-C88),2)</f>
        <v>326</v>
      </c>
      <c r="L19" s="2886"/>
      <c r="M19" s="1314">
        <f>ROUND(356*(1-C88),2)</f>
        <v>356</v>
      </c>
      <c r="N19" s="1906">
        <f>ROUND(451*(1-C88),2)</f>
        <v>451</v>
      </c>
      <c r="O19" s="2086">
        <f>ROUND(488*(1-C88),2)</f>
        <v>488</v>
      </c>
      <c r="P19" s="1314">
        <f>ROUND(357*(1-C88),2)</f>
        <v>357</v>
      </c>
      <c r="Q19" s="2887">
        <f>ROUND(412*(1-C88),2)</f>
        <v>412</v>
      </c>
      <c r="R19" s="2888"/>
      <c r="S19" s="2887" t="s">
        <v>17</v>
      </c>
      <c r="T19" s="2888"/>
    </row>
    <row r="20" spans="1:20" s="97" customFormat="1" ht="23.25" customHeight="1" x14ac:dyDescent="0.3">
      <c r="A20" s="98" t="s">
        <v>175</v>
      </c>
      <c r="B20" s="1318">
        <v>416</v>
      </c>
      <c r="C20" s="100" t="s">
        <v>169</v>
      </c>
      <c r="D20" s="2889" t="s">
        <v>170</v>
      </c>
      <c r="E20" s="2890"/>
      <c r="F20" s="1317">
        <f>ROUND(305*(1-C88),2)</f>
        <v>305</v>
      </c>
      <c r="G20" s="1317">
        <f>ROUND(372*(1-C88),2)</f>
        <v>372</v>
      </c>
      <c r="H20" s="1311">
        <f>ROUND(398*(1-C88),2)</f>
        <v>398</v>
      </c>
      <c r="I20" s="1317">
        <f>ROUND(485*(1-C88),2)</f>
        <v>485</v>
      </c>
      <c r="J20" s="1317">
        <f>ROUND(418*(1-C88),2)</f>
        <v>418</v>
      </c>
      <c r="K20" s="2891">
        <f>ROUND(430*(1-C88),2)</f>
        <v>430</v>
      </c>
      <c r="L20" s="2892"/>
      <c r="M20" s="1317">
        <f>ROUND(470*(1-C88),2)</f>
        <v>470</v>
      </c>
      <c r="N20" s="1905">
        <f>ROUND(597*(1-C88),2)</f>
        <v>597</v>
      </c>
      <c r="O20" s="2081">
        <f>ROUND(645*(1-C88),2)</f>
        <v>645</v>
      </c>
      <c r="P20" s="1317">
        <f>ROUND(471*(1-C88),2)</f>
        <v>471</v>
      </c>
      <c r="Q20" s="2893">
        <f>ROUND(544*(1-C88),2)</f>
        <v>544</v>
      </c>
      <c r="R20" s="2888"/>
      <c r="S20" s="2893" t="s">
        <v>17</v>
      </c>
      <c r="T20" s="2888"/>
    </row>
    <row r="21" spans="1:20" s="97" customFormat="1" ht="23.25" customHeight="1" x14ac:dyDescent="0.3">
      <c r="A21" s="95" t="s">
        <v>176</v>
      </c>
      <c r="B21" s="1319">
        <v>416</v>
      </c>
      <c r="C21" s="101" t="s">
        <v>169</v>
      </c>
      <c r="D21" s="2883" t="s">
        <v>170</v>
      </c>
      <c r="E21" s="2884"/>
      <c r="F21" s="1314">
        <f>ROUND(305*(1-C88),2)</f>
        <v>305</v>
      </c>
      <c r="G21" s="1314">
        <f>ROUND(372*(1-C88),2)</f>
        <v>372</v>
      </c>
      <c r="H21" s="1315">
        <f>ROUND(398*(1-C88),2)</f>
        <v>398</v>
      </c>
      <c r="I21" s="1314">
        <f>ROUND(485*(1-C88),2)</f>
        <v>485</v>
      </c>
      <c r="J21" s="1314">
        <f>ROUND(418*(1-C88),2)</f>
        <v>418</v>
      </c>
      <c r="K21" s="2885">
        <f>ROUND(430*(1-C88),2)</f>
        <v>430</v>
      </c>
      <c r="L21" s="2886"/>
      <c r="M21" s="1314">
        <f>ROUND(470*(1-C88),2)</f>
        <v>470</v>
      </c>
      <c r="N21" s="1906">
        <f>ROUND(597*(1-C88),2)</f>
        <v>597</v>
      </c>
      <c r="O21" s="2086">
        <f>ROUND(645*(1-C88),2)</f>
        <v>645</v>
      </c>
      <c r="P21" s="1314">
        <f>ROUND(471*(1-C88),2)</f>
        <v>471</v>
      </c>
      <c r="Q21" s="2887">
        <f>ROUND(544*(1-C88),2)</f>
        <v>544</v>
      </c>
      <c r="R21" s="2888"/>
      <c r="S21" s="2887" t="s">
        <v>17</v>
      </c>
      <c r="T21" s="2888"/>
    </row>
    <row r="22" spans="1:20" s="97" customFormat="1" ht="23.25" customHeight="1" x14ac:dyDescent="0.3">
      <c r="A22" s="98" t="s">
        <v>177</v>
      </c>
      <c r="B22" s="1318">
        <v>380</v>
      </c>
      <c r="C22" s="100" t="s">
        <v>169</v>
      </c>
      <c r="D22" s="2889" t="s">
        <v>170</v>
      </c>
      <c r="E22" s="2890"/>
      <c r="F22" s="1317">
        <f>ROUND(305*(1-C88),2)</f>
        <v>305</v>
      </c>
      <c r="G22" s="1317">
        <f>ROUND(372*(1-C88),2)</f>
        <v>372</v>
      </c>
      <c r="H22" s="1311">
        <f>ROUND(398*(1-C88),2)</f>
        <v>398</v>
      </c>
      <c r="I22" s="1317">
        <f>ROUND(485*(1-C88),2)</f>
        <v>485</v>
      </c>
      <c r="J22" s="1317">
        <f>ROUND(418*(1-C88),2)</f>
        <v>418</v>
      </c>
      <c r="K22" s="2891">
        <f>ROUND(430*(1-C88),2)</f>
        <v>430</v>
      </c>
      <c r="L22" s="2892"/>
      <c r="M22" s="1317">
        <f>ROUND(470*(1-C88),2)</f>
        <v>470</v>
      </c>
      <c r="N22" s="1905">
        <f>ROUND(597*(1-C88),2)</f>
        <v>597</v>
      </c>
      <c r="O22" s="2081">
        <f>ROUND(645*(1-C88),2)</f>
        <v>645</v>
      </c>
      <c r="P22" s="1317">
        <f>ROUND(471*(1-C88),2)</f>
        <v>471</v>
      </c>
      <c r="Q22" s="2893">
        <f>ROUND(544*(1-C88),2)</f>
        <v>544</v>
      </c>
      <c r="R22" s="2888"/>
      <c r="S22" s="2893" t="s">
        <v>17</v>
      </c>
      <c r="T22" s="2888"/>
    </row>
    <row r="23" spans="1:20" s="97" customFormat="1" ht="23.25" hidden="1" customHeight="1" x14ac:dyDescent="0.3">
      <c r="A23" s="102" t="s">
        <v>2191</v>
      </c>
      <c r="B23" s="1454"/>
      <c r="C23" s="96" t="s">
        <v>179</v>
      </c>
      <c r="D23" s="2883" t="s">
        <v>17</v>
      </c>
      <c r="E23" s="2884"/>
      <c r="F23" s="1453" t="s">
        <v>17</v>
      </c>
      <c r="G23" s="1314" t="e">
        <f>ROUND((((#REF!*(1-#REF!/100)*0.4625)+(50+8)))/(1-#REF!/100)*(1-C88),2)</f>
        <v>#REF!</v>
      </c>
      <c r="H23" s="1315" t="e">
        <f>ROUND((((#REF!*(1-#REF!/100)*0.4625)+(50+8)))/(1-#REF!/100)*(1-C88),2)</f>
        <v>#REF!</v>
      </c>
      <c r="I23" s="1314" t="e">
        <f>ROUND((((#REF!*(1-#REF!/100)*0.4625)+(50+8)))/(1-#REF!/100)*(1-B88),2)</f>
        <v>#REF!</v>
      </c>
      <c r="J23" s="1314" t="e">
        <f>ROUND((((#REF!*(1-#REF!/100)*0.4625)+(50+8)))/(1-#REF!/100)*(1-C88),2)</f>
        <v>#REF!</v>
      </c>
      <c r="K23" s="2885" t="e">
        <f>ROUND((((#REF!*(1-#REF!/100)*0.4625)+(50+8)))/(1-#REF!/100)*(1-C88),2)</f>
        <v>#REF!</v>
      </c>
      <c r="L23" s="2886"/>
      <c r="M23" s="1314" t="e">
        <f>ROUND((((#REF!*(1-#REF!/100)*0.4625)+(50+8)))/(1-#REF!/100)*(1-C88),2)</f>
        <v>#REF!</v>
      </c>
      <c r="N23" s="1906" t="e">
        <f>ROUND((((#REF!*(1-#REF!/100)*0.4625)+(50+8)))/(1-#REF!/100)*(1-C88),2)</f>
        <v>#REF!</v>
      </c>
      <c r="O23" s="2086" t="e">
        <f>ROUND((((#REF!*(1-#REF!/100)*0.4625)+(50+8)))/(1-#REF!/100)*(1-C88),2)</f>
        <v>#REF!</v>
      </c>
      <c r="P23" s="1314" t="e">
        <f t="shared" ref="P23" si="0">K23</f>
        <v>#REF!</v>
      </c>
      <c r="Q23" s="2899" t="e">
        <f>ROUND((((#REF!*(1-#REF!/100)*0.4625)+(50+8)))/(1-#REF!/100)*(1-C88),2)</f>
        <v>#REF!</v>
      </c>
      <c r="R23" s="2901"/>
      <c r="S23" s="2899"/>
      <c r="T23" s="2901"/>
    </row>
    <row r="24" spans="1:20" s="97" customFormat="1" ht="23.25" customHeight="1" x14ac:dyDescent="0.3">
      <c r="A24" s="102" t="s">
        <v>178</v>
      </c>
      <c r="B24" s="1916"/>
      <c r="C24" s="96" t="s">
        <v>179</v>
      </c>
      <c r="D24" s="2896" t="s">
        <v>17</v>
      </c>
      <c r="E24" s="2897"/>
      <c r="F24" s="1320" t="s">
        <v>17</v>
      </c>
      <c r="G24" s="1314">
        <f>ROUND(259*(1-C88),2)</f>
        <v>259</v>
      </c>
      <c r="H24" s="1315" t="str">
        <f>ROUND(284*(1-C88),2)&amp;"****"</f>
        <v>284****</v>
      </c>
      <c r="I24" s="1314" t="s">
        <v>17</v>
      </c>
      <c r="J24" s="1314">
        <f>ROUND(279*(1-C88),2)</f>
        <v>279</v>
      </c>
      <c r="K24" s="2885">
        <f>ROUND(281*(1-C88),2)</f>
        <v>281</v>
      </c>
      <c r="L24" s="2898"/>
      <c r="M24" s="1314">
        <f>ROUND(288*(1-C88),2)</f>
        <v>288</v>
      </c>
      <c r="N24" s="1906" t="str">
        <f>ROUND(310*(1-C88),2)&amp;"****"</f>
        <v>310****</v>
      </c>
      <c r="O24" s="2086" t="str">
        <f>ROUND(328*(1-C88),2)&amp;"****"</f>
        <v>328****</v>
      </c>
      <c r="P24" s="1314">
        <f>ROUND(288*(1-C88),2)</f>
        <v>288</v>
      </c>
      <c r="Q24" s="2899">
        <f>ROUND(305*(1-C88),2)</f>
        <v>305</v>
      </c>
      <c r="R24" s="2900" t="e">
        <f>ROUND((((#REF!*(1-25/100)*2.5)/70+(32+5)))*2.5/0.35*(1-O88),2)</f>
        <v>#REF!</v>
      </c>
      <c r="S24" s="2899" t="s">
        <v>17</v>
      </c>
      <c r="T24" s="2900"/>
    </row>
    <row r="25" spans="1:20" s="97" customFormat="1" ht="23.25" customHeight="1" x14ac:dyDescent="0.3">
      <c r="A25" s="98" t="s">
        <v>180</v>
      </c>
      <c r="B25" s="1318"/>
      <c r="C25" s="100" t="s">
        <v>179</v>
      </c>
      <c r="D25" s="2889" t="s">
        <v>17</v>
      </c>
      <c r="E25" s="2890"/>
      <c r="F25" s="1317" t="s">
        <v>17</v>
      </c>
      <c r="G25" s="1317">
        <f>ROUND(584*(1-C88),2)</f>
        <v>584</v>
      </c>
      <c r="H25" s="1311" t="str">
        <f>ROUND(644*(1-C88),2)&amp;"****"</f>
        <v>644****</v>
      </c>
      <c r="I25" s="1317" t="s">
        <v>17</v>
      </c>
      <c r="J25" s="1317">
        <f>ROUND(632*(1-C88),2)</f>
        <v>632</v>
      </c>
      <c r="K25" s="2891">
        <f>ROUND(637*(1-C88),2)</f>
        <v>637</v>
      </c>
      <c r="L25" s="2892"/>
      <c r="M25" s="1317">
        <f>ROUND(653*(1-C88),2)</f>
        <v>653</v>
      </c>
      <c r="N25" s="1905" t="str">
        <f>ROUND(703*(1-C88),2)&amp;"****"</f>
        <v>703****</v>
      </c>
      <c r="O25" s="2081" t="str">
        <f>ROUND(723*(1-C88),2)&amp;"****"</f>
        <v>723****</v>
      </c>
      <c r="P25" s="1317">
        <f>ROUND(653*(1-C88),2)</f>
        <v>653</v>
      </c>
      <c r="Q25" s="2893">
        <f>ROUND(689*(1-C88),2)</f>
        <v>689</v>
      </c>
      <c r="R25" s="2888" t="e">
        <f>ROUND((((#REF!*(1-25/100)*2.5)/30+(78+5)))*2.5/0.35*(1-O89),2)</f>
        <v>#REF!</v>
      </c>
      <c r="S25" s="2893" t="s">
        <v>17</v>
      </c>
      <c r="T25" s="2888"/>
    </row>
    <row r="26" spans="1:20" s="97" customFormat="1" ht="23.25" customHeight="1" x14ac:dyDescent="0.3">
      <c r="A26" s="95" t="s">
        <v>181</v>
      </c>
      <c r="B26" s="1917"/>
      <c r="C26" s="96" t="s">
        <v>179</v>
      </c>
      <c r="D26" s="2896" t="s">
        <v>17</v>
      </c>
      <c r="E26" s="2897"/>
      <c r="F26" s="1314" t="s">
        <v>17</v>
      </c>
      <c r="G26" s="1314">
        <f>ROUND(213*(1-C88),2)</f>
        <v>213</v>
      </c>
      <c r="H26" s="1315" t="s">
        <v>17</v>
      </c>
      <c r="I26" s="1314" t="s">
        <v>17</v>
      </c>
      <c r="J26" s="1314">
        <f>ROUND(231*(1-C88),2)</f>
        <v>231</v>
      </c>
      <c r="K26" s="2885">
        <f>ROUND(232*(1-C88),2)</f>
        <v>232</v>
      </c>
      <c r="L26" s="2898"/>
      <c r="M26" s="1314">
        <f>ROUND(238*(1-C88),2)</f>
        <v>238</v>
      </c>
      <c r="N26" s="1906" t="str">
        <f>ROUND(257*(1-C88),2)&amp;"****"</f>
        <v>257****</v>
      </c>
      <c r="O26" s="2086" t="str">
        <f>ROUND(265*(1-C88),2)&amp;"****"</f>
        <v>265****</v>
      </c>
      <c r="P26" s="1314">
        <f>ROUND(239*(1-C88),2)</f>
        <v>239</v>
      </c>
      <c r="Q26" s="2899">
        <f>ROUND(253*(1-C88),2)</f>
        <v>253</v>
      </c>
      <c r="R26" s="2900" t="e">
        <f>ROUND((((#REF!*(1-25/100)*2.5)/80+(25+5)))*2.5/0.35*(1-O90),2)</f>
        <v>#REF!</v>
      </c>
      <c r="S26" s="2899" t="s">
        <v>17</v>
      </c>
      <c r="T26" s="2900"/>
    </row>
    <row r="27" spans="1:20" s="97" customFormat="1" ht="23.25" customHeight="1" x14ac:dyDescent="0.3">
      <c r="A27" s="98" t="s">
        <v>182</v>
      </c>
      <c r="B27" s="1318"/>
      <c r="C27" s="100" t="s">
        <v>179</v>
      </c>
      <c r="D27" s="2889" t="s">
        <v>17</v>
      </c>
      <c r="E27" s="2890"/>
      <c r="F27" s="1317" t="s">
        <v>17</v>
      </c>
      <c r="G27" s="1317">
        <f>ROUND(483*(1-C88),2)</f>
        <v>483</v>
      </c>
      <c r="H27" s="1311" t="str">
        <f>ROUND(527*(1-C88),2)&amp;"****"</f>
        <v>527****</v>
      </c>
      <c r="I27" s="1317" t="s">
        <v>17</v>
      </c>
      <c r="J27" s="1317">
        <f>ROUND(518*(1-C88),2)</f>
        <v>518</v>
      </c>
      <c r="K27" s="2891">
        <f>ROUND(522*(1-C88),2)</f>
        <v>522</v>
      </c>
      <c r="L27" s="2892"/>
      <c r="M27" s="1317">
        <f>ROUND(534*(1-C88),2)</f>
        <v>534</v>
      </c>
      <c r="N27" s="1905" t="str">
        <f>ROUND(572*(1-C88),2)&amp;"****"</f>
        <v>572****</v>
      </c>
      <c r="O27" s="2081" t="str">
        <f>ROUND(586*(1-C88),2)&amp;"****"</f>
        <v>586****</v>
      </c>
      <c r="P27" s="1317">
        <f>ROUND(534*(1-C88),2)</f>
        <v>534</v>
      </c>
      <c r="Q27" s="2893">
        <f>ROUND(562*(1-C88),2)</f>
        <v>562</v>
      </c>
      <c r="R27" s="2888" t="e">
        <f>ROUND((((#REF!*(1-25/100)*2.5)/40+(65+5)))*2.5/0.35*(1-O91),2)</f>
        <v>#REF!</v>
      </c>
      <c r="S27" s="2893" t="s">
        <v>17</v>
      </c>
      <c r="T27" s="2888"/>
    </row>
    <row r="28" spans="1:20" s="97" customFormat="1" ht="23.25" customHeight="1" x14ac:dyDescent="0.3">
      <c r="A28" s="95" t="s">
        <v>2356</v>
      </c>
      <c r="B28" s="1917"/>
      <c r="C28" s="96" t="s">
        <v>179</v>
      </c>
      <c r="D28" s="2896" t="s">
        <v>17</v>
      </c>
      <c r="E28" s="2897"/>
      <c r="F28" s="1314" t="s">
        <v>17</v>
      </c>
      <c r="G28" s="1314">
        <f>ROUND(1930*(1-C88),2)</f>
        <v>1930</v>
      </c>
      <c r="H28" s="1315">
        <f>ROUND(2200*(1-C88),2)</f>
        <v>2200</v>
      </c>
      <c r="I28" s="1314">
        <f>ROUND(2316*(1-C88),2)</f>
        <v>2316</v>
      </c>
      <c r="J28" s="1314">
        <f>ROUND(2109*(1-C88),2)</f>
        <v>2109</v>
      </c>
      <c r="K28" s="2885">
        <f>ROUND(2145*(1-C88),2)</f>
        <v>2145</v>
      </c>
      <c r="L28" s="2898"/>
      <c r="M28" s="1314">
        <f>ROUND(2269*(1-C88),2)</f>
        <v>2269</v>
      </c>
      <c r="N28" s="1906">
        <f>ROUND(2655*(1-C88),2)</f>
        <v>2655</v>
      </c>
      <c r="O28" s="2086">
        <f>ROUND(2804*(1-C88),2)</f>
        <v>2804</v>
      </c>
      <c r="P28" s="1314">
        <f>ROUND(2273*(1-C88),2)</f>
        <v>2273</v>
      </c>
      <c r="Q28" s="2899">
        <f>ROUND(2495*(1-C88),2)</f>
        <v>2495</v>
      </c>
      <c r="R28" s="2900" t="e">
        <f>ROUND((((#REF!*(1-25/100)*2.55)/4+(150+8)))*2.5/0.35*(1-O92),2)</f>
        <v>#REF!</v>
      </c>
      <c r="S28" s="2899" t="s">
        <v>17</v>
      </c>
      <c r="T28" s="2900"/>
    </row>
    <row r="29" spans="1:20" s="97" customFormat="1" ht="23.25" customHeight="1" x14ac:dyDescent="0.3">
      <c r="A29" s="98" t="s">
        <v>2357</v>
      </c>
      <c r="B29" s="1318"/>
      <c r="C29" s="100" t="s">
        <v>179</v>
      </c>
      <c r="D29" s="2889" t="s">
        <v>17</v>
      </c>
      <c r="E29" s="2890"/>
      <c r="F29" s="1317" t="s">
        <v>17</v>
      </c>
      <c r="G29" s="1317">
        <f>ROUND(1326*(1-C88),2)</f>
        <v>1326</v>
      </c>
      <c r="H29" s="1311">
        <f>ROUND(1437*(1-C88),2)</f>
        <v>1437</v>
      </c>
      <c r="I29" s="1317">
        <f>ROUND(1485*(1-C88),2)</f>
        <v>1485</v>
      </c>
      <c r="J29" s="1317">
        <f>ROUND(1399*(1-C88),2)</f>
        <v>1399</v>
      </c>
      <c r="K29" s="2891">
        <f>ROUND(1414*(1-C88),2)</f>
        <v>1414</v>
      </c>
      <c r="L29" s="2892"/>
      <c r="M29" s="1317">
        <f>ROUND(1465*(1-C88),2)</f>
        <v>1465</v>
      </c>
      <c r="N29" s="1905">
        <f>ROUND(1624*(1-C88),2)</f>
        <v>1624</v>
      </c>
      <c r="O29" s="2081">
        <f>ROUND(1686*(1-C88),2)</f>
        <v>1686</v>
      </c>
      <c r="P29" s="1317">
        <f>ROUND(1467*(1-C88),2)</f>
        <v>1467</v>
      </c>
      <c r="Q29" s="2893">
        <f>ROUND(1558*(1-C88),2)</f>
        <v>1558</v>
      </c>
      <c r="R29" s="2888" t="e">
        <f>ROUND((((#REF!*(1-25/100)*0.525)/2+(150+8)))*2.5/0.35*(1-O93),2)</f>
        <v>#REF!</v>
      </c>
      <c r="S29" s="2893" t="s">
        <v>17</v>
      </c>
      <c r="T29" s="2888"/>
    </row>
    <row r="30" spans="1:20" s="97" customFormat="1" ht="23.25" customHeight="1" x14ac:dyDescent="0.3">
      <c r="A30" s="103" t="s">
        <v>183</v>
      </c>
      <c r="B30" s="1321">
        <v>250</v>
      </c>
      <c r="C30" s="1898" t="s">
        <v>169</v>
      </c>
      <c r="D30" s="2902" t="s">
        <v>170</v>
      </c>
      <c r="E30" s="2903"/>
      <c r="F30" s="1900">
        <f>ROUND(189*(1-C88),2)</f>
        <v>189</v>
      </c>
      <c r="G30" s="1900">
        <f>ROUND(229*(1-C88),2)</f>
        <v>229</v>
      </c>
      <c r="H30" s="1322">
        <f>ROUND(245*(1-C88),2)</f>
        <v>245</v>
      </c>
      <c r="I30" s="2346">
        <f>ROUND(297*(1-C88),2)</f>
        <v>297</v>
      </c>
      <c r="J30" s="1900">
        <f>ROUND(256*(1-C88),2)</f>
        <v>256</v>
      </c>
      <c r="K30" s="2904">
        <f>ROUND(264*(1-C88),2)</f>
        <v>264</v>
      </c>
      <c r="L30" s="2905"/>
      <c r="M30" s="1900">
        <f>ROUND(288*(1-C88),2)</f>
        <v>288</v>
      </c>
      <c r="N30" s="1899">
        <f>ROUND(364*(1-C88),2)</f>
        <v>364</v>
      </c>
      <c r="O30" s="2083">
        <f>ROUND(393*(1-C88),2)</f>
        <v>393</v>
      </c>
      <c r="P30" s="2026">
        <f>ROUND(288*(1-C88),2)</f>
        <v>288</v>
      </c>
      <c r="Q30" s="2906">
        <f>ROUND(332*(1-C88),2)</f>
        <v>332</v>
      </c>
      <c r="R30" s="2907"/>
      <c r="S30" s="2906" t="s">
        <v>17</v>
      </c>
      <c r="T30" s="2907"/>
    </row>
    <row r="31" spans="1:20" s="97" customFormat="1" ht="23.25" customHeight="1" x14ac:dyDescent="0.3">
      <c r="A31" s="98" t="s">
        <v>184</v>
      </c>
      <c r="B31" s="1318">
        <v>175</v>
      </c>
      <c r="C31" s="100" t="s">
        <v>169</v>
      </c>
      <c r="D31" s="2889" t="s">
        <v>170</v>
      </c>
      <c r="E31" s="2890"/>
      <c r="F31" s="1317">
        <f>ROUND(139*(1-C88),2)</f>
        <v>139</v>
      </c>
      <c r="G31" s="1317">
        <f>ROUND(168*(1-C88),2)</f>
        <v>168</v>
      </c>
      <c r="H31" s="1311">
        <f>ROUND(179*(1-C88),2)</f>
        <v>179</v>
      </c>
      <c r="I31" s="1317">
        <f>ROUND(216*(1-C88),2)</f>
        <v>216</v>
      </c>
      <c r="J31" s="1317">
        <f>ROUND(187*(1-C88),2)</f>
        <v>187</v>
      </c>
      <c r="K31" s="2891">
        <f>ROUND(192*(1-C88),2)</f>
        <v>192</v>
      </c>
      <c r="L31" s="2892"/>
      <c r="M31" s="1317">
        <f>ROUND(210*(1-C88),2)</f>
        <v>210</v>
      </c>
      <c r="N31" s="1905">
        <f>ROUND(264*(1-C88),2)</f>
        <v>264</v>
      </c>
      <c r="O31" s="2081">
        <f>ROUND(285*(1-C88),2)</f>
        <v>285</v>
      </c>
      <c r="P31" s="1317">
        <f>ROUND(210*(1-C88),2)</f>
        <v>210</v>
      </c>
      <c r="Q31" s="2893">
        <f>ROUND(241*(1-C88),2)</f>
        <v>241</v>
      </c>
      <c r="R31" s="2888"/>
      <c r="S31" s="2893" t="s">
        <v>17</v>
      </c>
      <c r="T31" s="2888"/>
    </row>
    <row r="32" spans="1:20" s="97" customFormat="1" ht="23.25" customHeight="1" x14ac:dyDescent="0.3">
      <c r="A32" s="1918" t="s">
        <v>185</v>
      </c>
      <c r="B32" s="1919">
        <v>312</v>
      </c>
      <c r="C32" s="1920" t="s">
        <v>169</v>
      </c>
      <c r="D32" s="2914" t="s">
        <v>170</v>
      </c>
      <c r="E32" s="2915"/>
      <c r="F32" s="1323">
        <f>ROUND(232*(1-C88),2)</f>
        <v>232</v>
      </c>
      <c r="G32" s="1323">
        <f>ROUND(283*(1-C88),2)</f>
        <v>283</v>
      </c>
      <c r="H32" s="1324">
        <f>ROUND(302*(1-C88),2)</f>
        <v>302</v>
      </c>
      <c r="I32" s="1323">
        <f>ROUND(368*(1-C88),2)</f>
        <v>368</v>
      </c>
      <c r="J32" s="1323">
        <f>ROUND(317*(1-C88),2)</f>
        <v>317</v>
      </c>
      <c r="K32" s="2916">
        <f>ROUND(326*(1-C88),2)</f>
        <v>326</v>
      </c>
      <c r="L32" s="2917"/>
      <c r="M32" s="1323">
        <f>ROUND(356*(1-C88),2)</f>
        <v>356</v>
      </c>
      <c r="N32" s="1908">
        <f>ROUND(451*(1-C88),2)</f>
        <v>451</v>
      </c>
      <c r="O32" s="2085">
        <f>ROUND(488*(1-C88),2)</f>
        <v>488</v>
      </c>
      <c r="P32" s="1323">
        <f>ROUND(357*(1-C88),2)</f>
        <v>357</v>
      </c>
      <c r="Q32" s="2918">
        <f>ROUND(412*(1-C88),2)</f>
        <v>412</v>
      </c>
      <c r="R32" s="2919"/>
      <c r="S32" s="2918" t="s">
        <v>17</v>
      </c>
      <c r="T32" s="2919"/>
    </row>
    <row r="33" spans="1:20" s="97" customFormat="1" ht="23.25" customHeight="1" x14ac:dyDescent="0.3">
      <c r="A33" s="98" t="s">
        <v>186</v>
      </c>
      <c r="B33" s="1318">
        <v>312</v>
      </c>
      <c r="C33" s="100" t="s">
        <v>169</v>
      </c>
      <c r="D33" s="2889" t="s">
        <v>170</v>
      </c>
      <c r="E33" s="2890"/>
      <c r="F33" s="1317">
        <f>ROUND(232*(1-C88),2)</f>
        <v>232</v>
      </c>
      <c r="G33" s="1317">
        <f>ROUND(283*(1-C88),2)</f>
        <v>283</v>
      </c>
      <c r="H33" s="1311">
        <f>ROUND(302*(1-C88),2)</f>
        <v>302</v>
      </c>
      <c r="I33" s="1317">
        <f>ROUND(368*(1-C88),2)</f>
        <v>368</v>
      </c>
      <c r="J33" s="1317">
        <f>ROUND(317*(1-C88),2)</f>
        <v>317</v>
      </c>
      <c r="K33" s="2891">
        <f>ROUND(326*(1-C88),2)</f>
        <v>326</v>
      </c>
      <c r="L33" s="2892"/>
      <c r="M33" s="1317">
        <f>ROUND(356*(1-C88),2)</f>
        <v>356</v>
      </c>
      <c r="N33" s="1905">
        <f>ROUND(451*(1-C88),2)</f>
        <v>451</v>
      </c>
      <c r="O33" s="2081">
        <f>ROUND(488*(1-C88),2)</f>
        <v>488</v>
      </c>
      <c r="P33" s="1317">
        <f>ROUND(357*(1-C88),2)</f>
        <v>357</v>
      </c>
      <c r="Q33" s="2893">
        <f>ROUND(412*(1-C88),2)</f>
        <v>412</v>
      </c>
      <c r="R33" s="2888"/>
      <c r="S33" s="2893" t="s">
        <v>17</v>
      </c>
      <c r="T33" s="2888"/>
    </row>
    <row r="34" spans="1:20" s="97" customFormat="1" ht="23.25" customHeight="1" x14ac:dyDescent="0.3">
      <c r="A34" s="1921" t="s">
        <v>187</v>
      </c>
      <c r="B34" s="1922">
        <v>625</v>
      </c>
      <c r="C34" s="1923" t="s">
        <v>169</v>
      </c>
      <c r="D34" s="2908" t="s">
        <v>170</v>
      </c>
      <c r="E34" s="2909"/>
      <c r="F34" s="1325">
        <f>ROUND(450*(1-C88),2)</f>
        <v>450</v>
      </c>
      <c r="G34" s="1325">
        <f>ROUND(551*(1-C88),2)</f>
        <v>551</v>
      </c>
      <c r="H34" s="1924">
        <f>ROUND(590*(1-C88),2)</f>
        <v>590</v>
      </c>
      <c r="I34" s="1325">
        <f>ROUND(721*(1-C88),2)</f>
        <v>721</v>
      </c>
      <c r="J34" s="1325">
        <f>ROUND(619*(1-C88),2)</f>
        <v>619</v>
      </c>
      <c r="K34" s="2910">
        <f>ROUND(638*(1-C88),2)</f>
        <v>638</v>
      </c>
      <c r="L34" s="2911"/>
      <c r="M34" s="1325">
        <f>ROUND(698*(1-C88),2)</f>
        <v>698</v>
      </c>
      <c r="N34" s="1909">
        <f>ROUND(888*(1-C88),2)</f>
        <v>888</v>
      </c>
      <c r="O34" s="2082">
        <f>ROUND(961*(1-C88),2)</f>
        <v>961</v>
      </c>
      <c r="P34" s="1325">
        <f>ROUND(700*(1-C88),2)</f>
        <v>700</v>
      </c>
      <c r="Q34" s="2912">
        <f>ROUND(809*(1-C88),2)</f>
        <v>809</v>
      </c>
      <c r="R34" s="2913"/>
      <c r="S34" s="2912" t="s">
        <v>17</v>
      </c>
      <c r="T34" s="2913"/>
    </row>
    <row r="35" spans="1:20" s="97" customFormat="1" ht="23.25" customHeight="1" x14ac:dyDescent="0.3">
      <c r="A35" s="98" t="s">
        <v>188</v>
      </c>
      <c r="B35" s="1318">
        <v>416</v>
      </c>
      <c r="C35" s="100" t="s">
        <v>169</v>
      </c>
      <c r="D35" s="2889" t="s">
        <v>170</v>
      </c>
      <c r="E35" s="2890"/>
      <c r="F35" s="1317">
        <f>ROUND(305*(1-C88),2)</f>
        <v>305</v>
      </c>
      <c r="G35" s="1317">
        <f>ROUND(372*(1-C88),2)</f>
        <v>372</v>
      </c>
      <c r="H35" s="1311">
        <f>ROUND(398*(1-C88),2)</f>
        <v>398</v>
      </c>
      <c r="I35" s="1317">
        <f>ROUND(485*(1-C88),2)</f>
        <v>485</v>
      </c>
      <c r="J35" s="1317">
        <f>ROUND(418*(1-C88),2)</f>
        <v>418</v>
      </c>
      <c r="K35" s="2891">
        <f>ROUND(430*(1-C88),2)</f>
        <v>430</v>
      </c>
      <c r="L35" s="2892"/>
      <c r="M35" s="1317">
        <f>ROUND(470*(1-C88),2)</f>
        <v>470</v>
      </c>
      <c r="N35" s="1905">
        <f>ROUND(597*(1-C88),2)</f>
        <v>597</v>
      </c>
      <c r="O35" s="2081">
        <f>ROUND(645*(1-C88),2)</f>
        <v>645</v>
      </c>
      <c r="P35" s="1317">
        <f>ROUND(471*(1-C88),2)</f>
        <v>471</v>
      </c>
      <c r="Q35" s="2893">
        <f>ROUND(544*(1-C88),2)</f>
        <v>544</v>
      </c>
      <c r="R35" s="2888"/>
      <c r="S35" s="2893" t="s">
        <v>17</v>
      </c>
      <c r="T35" s="2888"/>
    </row>
    <row r="36" spans="1:20" s="97" customFormat="1" ht="23.25" customHeight="1" x14ac:dyDescent="0.3">
      <c r="A36" s="1921" t="s">
        <v>189</v>
      </c>
      <c r="B36" s="1922">
        <v>416</v>
      </c>
      <c r="C36" s="1923" t="s">
        <v>169</v>
      </c>
      <c r="D36" s="2908" t="s">
        <v>170</v>
      </c>
      <c r="E36" s="2909"/>
      <c r="F36" s="1325">
        <f>ROUND(305*(1-C88),2)</f>
        <v>305</v>
      </c>
      <c r="G36" s="1325">
        <f>ROUND(372*(1-C88),2)</f>
        <v>372</v>
      </c>
      <c r="H36" s="1924">
        <f>ROUND(398*(1-C88),2)</f>
        <v>398</v>
      </c>
      <c r="I36" s="1325">
        <f>ROUND(485*(1-C88),2)</f>
        <v>485</v>
      </c>
      <c r="J36" s="1325">
        <f>ROUND(418*(1-C88),2)</f>
        <v>418</v>
      </c>
      <c r="K36" s="2910">
        <f>ROUND(430*(1-C88),2)</f>
        <v>430</v>
      </c>
      <c r="L36" s="2911"/>
      <c r="M36" s="1325">
        <f>ROUND(470*(1-C88),2)</f>
        <v>470</v>
      </c>
      <c r="N36" s="1909">
        <f>ROUND(597*(1-C88),2)</f>
        <v>597</v>
      </c>
      <c r="O36" s="2082">
        <f>ROUND(645*(1-C88),2)</f>
        <v>645</v>
      </c>
      <c r="P36" s="1325">
        <f>ROUND(471*(1-C88),2)</f>
        <v>471</v>
      </c>
      <c r="Q36" s="2912">
        <f>ROUND(544*(1-C88),2)</f>
        <v>544</v>
      </c>
      <c r="R36" s="2913"/>
      <c r="S36" s="2912" t="s">
        <v>17</v>
      </c>
      <c r="T36" s="2913"/>
    </row>
    <row r="37" spans="1:20" s="97" customFormat="1" ht="23.25" customHeight="1" x14ac:dyDescent="0.3">
      <c r="A37" s="98" t="s">
        <v>190</v>
      </c>
      <c r="B37" s="1318">
        <v>312</v>
      </c>
      <c r="C37" s="100" t="s">
        <v>169</v>
      </c>
      <c r="D37" s="2889" t="s">
        <v>170</v>
      </c>
      <c r="E37" s="2890"/>
      <c r="F37" s="1317">
        <f>ROUND(232*(1-C88),2)</f>
        <v>232</v>
      </c>
      <c r="G37" s="1317">
        <f>ROUND(283*(1-C88),2)</f>
        <v>283</v>
      </c>
      <c r="H37" s="1311">
        <f>ROUND(302*(1-C88),2)</f>
        <v>302</v>
      </c>
      <c r="I37" s="1317">
        <f>ROUND(368*(1-C88),2)</f>
        <v>368</v>
      </c>
      <c r="J37" s="1317">
        <f>ROUND(317*(1-C88),2)</f>
        <v>317</v>
      </c>
      <c r="K37" s="2891">
        <f>ROUND(326*(1-C88),2)</f>
        <v>326</v>
      </c>
      <c r="L37" s="2892"/>
      <c r="M37" s="1317">
        <f>ROUND(356*(1-C88),2)</f>
        <v>356</v>
      </c>
      <c r="N37" s="1905">
        <f>ROUND(451*(1-C88),2)</f>
        <v>451</v>
      </c>
      <c r="O37" s="2081">
        <f>ROUND(488*(1-C88),2)</f>
        <v>488</v>
      </c>
      <c r="P37" s="1317">
        <f>ROUND(357*(1-C88),2)</f>
        <v>357</v>
      </c>
      <c r="Q37" s="2893">
        <f>ROUND(412*(1-C88),2)</f>
        <v>412</v>
      </c>
      <c r="R37" s="2888"/>
      <c r="S37" s="2893" t="s">
        <v>17</v>
      </c>
      <c r="T37" s="2888"/>
    </row>
    <row r="38" spans="1:20" s="97" customFormat="1" ht="23.25" customHeight="1" x14ac:dyDescent="0.3">
      <c r="A38" s="1925" t="s">
        <v>191</v>
      </c>
      <c r="B38" s="1926">
        <v>100</v>
      </c>
      <c r="C38" s="1923" t="s">
        <v>169</v>
      </c>
      <c r="D38" s="2908" t="s">
        <v>170</v>
      </c>
      <c r="E38" s="2909"/>
      <c r="F38" s="1325">
        <f>ROUND(87*(1-C88),2)</f>
        <v>87</v>
      </c>
      <c r="G38" s="1325">
        <f>ROUND(104*(1-C88),2)</f>
        <v>104</v>
      </c>
      <c r="H38" s="1924">
        <f>ROUND(110*(1-C88),2)</f>
        <v>110</v>
      </c>
      <c r="I38" s="1325">
        <f>ROUND(132*(1-C88),2)</f>
        <v>132</v>
      </c>
      <c r="J38" s="1325">
        <f>ROUND(115*(1-C88),2)</f>
        <v>115</v>
      </c>
      <c r="K38" s="2910">
        <f>ROUND(118*(1-C88),2)</f>
        <v>118</v>
      </c>
      <c r="L38" s="2911"/>
      <c r="M38" s="1325">
        <f>ROUND(128*(1-C88),2)</f>
        <v>128</v>
      </c>
      <c r="N38" s="1909">
        <f>ROUND(160*(1-C88),2)</f>
        <v>160</v>
      </c>
      <c r="O38" s="2082">
        <f>ROUND(172*(1-C88),2)</f>
        <v>172</v>
      </c>
      <c r="P38" s="1325">
        <f>ROUND(129*(1-C88),2)</f>
        <v>129</v>
      </c>
      <c r="Q38" s="2912">
        <f>ROUND(147*(1-C88),2)</f>
        <v>147</v>
      </c>
      <c r="R38" s="2913"/>
      <c r="S38" s="2912" t="s">
        <v>17</v>
      </c>
      <c r="T38" s="2913"/>
    </row>
    <row r="39" spans="1:20" s="97" customFormat="1" ht="23.25" customHeight="1" x14ac:dyDescent="0.3">
      <c r="A39" s="98" t="s">
        <v>192</v>
      </c>
      <c r="B39" s="1318">
        <v>145</v>
      </c>
      <c r="C39" s="100" t="s">
        <v>169</v>
      </c>
      <c r="D39" s="2889" t="s">
        <v>170</v>
      </c>
      <c r="E39" s="2890"/>
      <c r="F39" s="1317">
        <f>ROUND(123*(1-C88),2)</f>
        <v>123</v>
      </c>
      <c r="G39" s="1317">
        <f>ROUND(148*(1-C88),2)</f>
        <v>148</v>
      </c>
      <c r="H39" s="1311">
        <f>ROUND(158*(1-C88),2)</f>
        <v>158</v>
      </c>
      <c r="I39" s="1317">
        <f>ROUND(191*(1-C88),2)</f>
        <v>191</v>
      </c>
      <c r="J39" s="1317">
        <f>ROUND(166*(1-C88),2)</f>
        <v>166</v>
      </c>
      <c r="K39" s="2891">
        <f>ROUND(170*(1-C88),2)</f>
        <v>170</v>
      </c>
      <c r="L39" s="2892"/>
      <c r="M39" s="1317">
        <f>ROUND(185*(1-C88),2)</f>
        <v>185</v>
      </c>
      <c r="N39" s="1905">
        <f>ROUND(233*(1-C88),2)</f>
        <v>233</v>
      </c>
      <c r="O39" s="2081">
        <f>ROUND(251*(1-C88),2)</f>
        <v>251</v>
      </c>
      <c r="P39" s="1317">
        <f>ROUND(186*(1-C88),2)</f>
        <v>186</v>
      </c>
      <c r="Q39" s="2893">
        <f>ROUND(213*(1-C88),2)</f>
        <v>213</v>
      </c>
      <c r="R39" s="2888"/>
      <c r="S39" s="2893" t="s">
        <v>17</v>
      </c>
      <c r="T39" s="2888"/>
    </row>
    <row r="40" spans="1:20" s="97" customFormat="1" ht="23.25" customHeight="1" x14ac:dyDescent="0.3">
      <c r="A40" s="103" t="s">
        <v>193</v>
      </c>
      <c r="B40" s="1321">
        <v>124</v>
      </c>
      <c r="C40" s="1898" t="s">
        <v>169</v>
      </c>
      <c r="D40" s="2902" t="s">
        <v>170</v>
      </c>
      <c r="E40" s="2903"/>
      <c r="F40" s="1900">
        <f>ROUND(101*(1-C88),2)</f>
        <v>101</v>
      </c>
      <c r="G40" s="1900">
        <f>ROUND(122*(1-C88),2)</f>
        <v>122</v>
      </c>
      <c r="H40" s="1322">
        <f>ROUND(129*(1-C88),2)</f>
        <v>129</v>
      </c>
      <c r="I40" s="2346">
        <f>ROUND(156*(1-C88),2)</f>
        <v>156</v>
      </c>
      <c r="J40" s="1900">
        <f>ROUND(135*(1-C88),2)</f>
        <v>135</v>
      </c>
      <c r="K40" s="2904">
        <f>ROUND(139*(1-C88),2)</f>
        <v>139</v>
      </c>
      <c r="L40" s="2905"/>
      <c r="M40" s="1900">
        <f>ROUND(151*(1-C88),2)</f>
        <v>151</v>
      </c>
      <c r="N40" s="1899">
        <f>ROUND(189*(1-C88),2)</f>
        <v>189</v>
      </c>
      <c r="O40" s="2083">
        <f>ROUND(204*(1-C88),2)</f>
        <v>204</v>
      </c>
      <c r="P40" s="2026">
        <f>ROUND(151*(1-C88),2)</f>
        <v>151</v>
      </c>
      <c r="Q40" s="2906">
        <f>ROUND(173*(1-C88),2)</f>
        <v>173</v>
      </c>
      <c r="R40" s="2907"/>
      <c r="S40" s="2906" t="s">
        <v>17</v>
      </c>
      <c r="T40" s="2907"/>
    </row>
    <row r="41" spans="1:20" s="97" customFormat="1" ht="23.25" customHeight="1" x14ac:dyDescent="0.3">
      <c r="A41" s="98" t="s">
        <v>194</v>
      </c>
      <c r="B41" s="1318">
        <v>250</v>
      </c>
      <c r="C41" s="100" t="s">
        <v>169</v>
      </c>
      <c r="D41" s="2889" t="s">
        <v>170</v>
      </c>
      <c r="E41" s="2890"/>
      <c r="F41" s="1317">
        <f>ROUND(189*(1-C88),2)</f>
        <v>189</v>
      </c>
      <c r="G41" s="1317">
        <f>ROUND(229*(1-C88),2)</f>
        <v>229</v>
      </c>
      <c r="H41" s="1311">
        <f>ROUND(245*(1-C88),2)</f>
        <v>245</v>
      </c>
      <c r="I41" s="1317">
        <f>ROUND(297*(1-C88),2)</f>
        <v>297</v>
      </c>
      <c r="J41" s="1317">
        <f>ROUND(256*(1-C88),2)</f>
        <v>256</v>
      </c>
      <c r="K41" s="2891">
        <f>ROUND(264*(1-C88),2)</f>
        <v>264</v>
      </c>
      <c r="L41" s="2892"/>
      <c r="M41" s="1317">
        <f>ROUND(288*(1-C88),2)</f>
        <v>288</v>
      </c>
      <c r="N41" s="1905">
        <f>ROUND(364*(1-C88),2)</f>
        <v>364</v>
      </c>
      <c r="O41" s="2081">
        <f>ROUND(393*(1-C88),2)</f>
        <v>393</v>
      </c>
      <c r="P41" s="1317">
        <f>ROUND(288*(1-C88),2)</f>
        <v>288</v>
      </c>
      <c r="Q41" s="2893">
        <f>ROUND(332*(1-C88),2)</f>
        <v>332</v>
      </c>
      <c r="R41" s="2888"/>
      <c r="S41" s="2893" t="s">
        <v>17</v>
      </c>
      <c r="T41" s="2888"/>
    </row>
    <row r="42" spans="1:20" s="94" customFormat="1" ht="23.25" customHeight="1" x14ac:dyDescent="0.3">
      <c r="A42" s="104" t="s">
        <v>195</v>
      </c>
      <c r="B42" s="1326">
        <v>145</v>
      </c>
      <c r="C42" s="1898" t="s">
        <v>169</v>
      </c>
      <c r="D42" s="2902" t="s">
        <v>170</v>
      </c>
      <c r="E42" s="2903"/>
      <c r="F42" s="1900">
        <f>ROUND(123*(1-C88),2)</f>
        <v>123</v>
      </c>
      <c r="G42" s="1900">
        <f>ROUND(148*(1-C88),2)</f>
        <v>148</v>
      </c>
      <c r="H42" s="1322">
        <f>ROUND(158*(1-C88),2)</f>
        <v>158</v>
      </c>
      <c r="I42" s="2346">
        <f>ROUND(191*(1-C88),2)</f>
        <v>191</v>
      </c>
      <c r="J42" s="1900">
        <f>ROUND(166*(1-C88),2)</f>
        <v>166</v>
      </c>
      <c r="K42" s="2904">
        <f>ROUND(170*(1-C88),2)</f>
        <v>170</v>
      </c>
      <c r="L42" s="2905"/>
      <c r="M42" s="1900">
        <f>ROUND(185*(1-C88),2)</f>
        <v>185</v>
      </c>
      <c r="N42" s="1899">
        <f>ROUND(233*(1-C88),2)</f>
        <v>233</v>
      </c>
      <c r="O42" s="2083">
        <f>ROUND(251*(1-C88),2)</f>
        <v>251</v>
      </c>
      <c r="P42" s="2026">
        <f>ROUND(186*(1-C88),2)</f>
        <v>186</v>
      </c>
      <c r="Q42" s="2906">
        <f>ROUND(213*(1-C88),2)</f>
        <v>213</v>
      </c>
      <c r="R42" s="2907"/>
      <c r="S42" s="2906" t="s">
        <v>17</v>
      </c>
      <c r="T42" s="2907"/>
    </row>
    <row r="43" spans="1:20" s="97" customFormat="1" ht="23.25" customHeight="1" x14ac:dyDescent="0.3">
      <c r="A43" s="98" t="s">
        <v>810</v>
      </c>
      <c r="B43" s="1318">
        <v>104</v>
      </c>
      <c r="C43" s="100" t="s">
        <v>169</v>
      </c>
      <c r="D43" s="2889" t="s">
        <v>170</v>
      </c>
      <c r="E43" s="2890"/>
      <c r="F43" s="1317">
        <f>ROUND(87*(1-C88),2)</f>
        <v>87</v>
      </c>
      <c r="G43" s="1317">
        <f>ROUND(104*(1-C88),2)</f>
        <v>104</v>
      </c>
      <c r="H43" s="1311">
        <f>ROUND(110*(1-C88),2)</f>
        <v>110</v>
      </c>
      <c r="I43" s="1317">
        <f>ROUND(132*(1-C88),2)</f>
        <v>132</v>
      </c>
      <c r="J43" s="1317">
        <f>ROUND(115*(1-C88),2)</f>
        <v>115</v>
      </c>
      <c r="K43" s="2891">
        <f>ROUND(118*(1-C88),2)</f>
        <v>118</v>
      </c>
      <c r="L43" s="2892"/>
      <c r="M43" s="1317">
        <f>ROUND(128*(1-C88),2)</f>
        <v>128</v>
      </c>
      <c r="N43" s="1905">
        <f>ROUND(160*(1-C88),2)</f>
        <v>160</v>
      </c>
      <c r="O43" s="2081">
        <f>ROUND(172*(1-C88),2)</f>
        <v>172</v>
      </c>
      <c r="P43" s="1317">
        <f>ROUND(129*(1-C88),2)</f>
        <v>129</v>
      </c>
      <c r="Q43" s="2893">
        <f>ROUND(147*(1-C88),2)</f>
        <v>147</v>
      </c>
      <c r="R43" s="2888"/>
      <c r="S43" s="2893" t="s">
        <v>17</v>
      </c>
      <c r="T43" s="2888"/>
    </row>
    <row r="44" spans="1:20" s="97" customFormat="1" ht="23.25" customHeight="1" x14ac:dyDescent="0.25">
      <c r="A44" s="2920" t="s">
        <v>2459</v>
      </c>
      <c r="B44" s="2921"/>
      <c r="C44" s="2921"/>
      <c r="D44" s="2921"/>
      <c r="E44" s="2921"/>
      <c r="F44" s="2921"/>
      <c r="G44" s="2921"/>
      <c r="H44" s="2921"/>
      <c r="I44" s="2921"/>
      <c r="J44" s="2921"/>
      <c r="K44" s="2921"/>
      <c r="L44" s="2921"/>
      <c r="M44" s="2921"/>
      <c r="N44" s="2921"/>
      <c r="O44" s="2921"/>
      <c r="P44" s="2921"/>
      <c r="Q44" s="2921"/>
      <c r="R44" s="2921"/>
      <c r="S44" s="2921"/>
      <c r="T44" s="2922"/>
    </row>
    <row r="45" spans="1:20" s="97" customFormat="1" ht="23.25" customHeight="1" x14ac:dyDescent="0.3">
      <c r="A45" s="103" t="s">
        <v>2462</v>
      </c>
      <c r="B45" s="1321">
        <v>330</v>
      </c>
      <c r="C45" s="1898" t="s">
        <v>169</v>
      </c>
      <c r="D45" s="2902" t="s">
        <v>170</v>
      </c>
      <c r="E45" s="2903"/>
      <c r="F45" s="1900">
        <f>ROUND(305*(1-C88),2)</f>
        <v>305</v>
      </c>
      <c r="G45" s="1900">
        <f>ROUND(363*(1-C88),2)</f>
        <v>363</v>
      </c>
      <c r="H45" s="1334">
        <f>ROUND(389*(1-C88),2)</f>
        <v>389</v>
      </c>
      <c r="I45" s="2346">
        <f>ROUND(476*(1-C88),2)</f>
        <v>476</v>
      </c>
      <c r="J45" s="1900">
        <f>ROUND(408*(1-C88),2)</f>
        <v>408</v>
      </c>
      <c r="K45" s="2904">
        <f>ROUND(421*(1-C88),2)</f>
        <v>421</v>
      </c>
      <c r="L45" s="2905"/>
      <c r="M45" s="1900">
        <f>ROUND(461*(1-C88),2)</f>
        <v>461</v>
      </c>
      <c r="N45" s="1900">
        <f>ROUND(588*(1-C88),2)</f>
        <v>588</v>
      </c>
      <c r="O45" s="2084">
        <f>ROUND(636*(1-C88),2)</f>
        <v>636</v>
      </c>
      <c r="P45" s="2026">
        <f>ROUND(462*(1-C88),2)</f>
        <v>462</v>
      </c>
      <c r="Q45" s="2906">
        <f>ROUND(535*(1-C88),2)</f>
        <v>535</v>
      </c>
      <c r="R45" s="2923"/>
      <c r="S45" s="2906" t="s">
        <v>17</v>
      </c>
      <c r="T45" s="2923"/>
    </row>
    <row r="46" spans="1:20" s="97" customFormat="1" ht="23.25" customHeight="1" x14ac:dyDescent="0.3">
      <c r="A46" s="926" t="s">
        <v>2461</v>
      </c>
      <c r="B46" s="1333">
        <v>380</v>
      </c>
      <c r="C46" s="927" t="s">
        <v>169</v>
      </c>
      <c r="D46" s="2924" t="s">
        <v>170</v>
      </c>
      <c r="E46" s="2925"/>
      <c r="F46" s="1331">
        <f>ROUND(305*(1-C88),2)</f>
        <v>305</v>
      </c>
      <c r="G46" s="1331">
        <f>ROUND(363*(1-C88),2)</f>
        <v>363</v>
      </c>
      <c r="H46" s="1337">
        <f>ROUND(389*(1-C88),2)</f>
        <v>389</v>
      </c>
      <c r="I46" s="1331">
        <f>ROUND(476*(1-C88),2)</f>
        <v>476</v>
      </c>
      <c r="J46" s="1331">
        <f>ROUND(408*(1-C88),2)</f>
        <v>408</v>
      </c>
      <c r="K46" s="2926">
        <f>ROUND(421*(1-C88),2)</f>
        <v>421</v>
      </c>
      <c r="L46" s="2927"/>
      <c r="M46" s="1331">
        <f>ROUND(461*(1-C88),2)</f>
        <v>461</v>
      </c>
      <c r="N46" s="1331">
        <f>ROUND(588*(1-C88),2)</f>
        <v>588</v>
      </c>
      <c r="O46" s="1331">
        <f>ROUND(636*(1-C88),2)</f>
        <v>636</v>
      </c>
      <c r="P46" s="1331">
        <f>ROUND(462*(1-C88),2)</f>
        <v>462</v>
      </c>
      <c r="Q46" s="2931">
        <f>ROUND(535*(1-C88),2)</f>
        <v>535</v>
      </c>
      <c r="R46" s="2931"/>
      <c r="S46" s="2931" t="s">
        <v>17</v>
      </c>
      <c r="T46" s="2931"/>
    </row>
    <row r="47" spans="1:20" s="97" customFormat="1" ht="23.25" customHeight="1" x14ac:dyDescent="0.3">
      <c r="A47" s="103" t="s">
        <v>194</v>
      </c>
      <c r="B47" s="1321">
        <v>250</v>
      </c>
      <c r="C47" s="1898" t="s">
        <v>169</v>
      </c>
      <c r="D47" s="2930" t="s">
        <v>170</v>
      </c>
      <c r="E47" s="2930"/>
      <c r="F47" s="1900">
        <f>ROUND(189*(1-C88),2)</f>
        <v>189</v>
      </c>
      <c r="G47" s="1900">
        <f>ROUND(229*(1-C88),2)</f>
        <v>229</v>
      </c>
      <c r="H47" s="1334">
        <f>ROUND(245*(1-C88),2)</f>
        <v>245</v>
      </c>
      <c r="I47" s="2346">
        <f>ROUND(297*(1-C88),2)</f>
        <v>297</v>
      </c>
      <c r="J47" s="1900">
        <f>ROUND(256*(1-C88),2)</f>
        <v>256</v>
      </c>
      <c r="K47" s="2932">
        <f>ROUND(264*(1-C88),2)</f>
        <v>264</v>
      </c>
      <c r="L47" s="2932"/>
      <c r="M47" s="1900">
        <f>ROUND(288*(1-C88),2)</f>
        <v>288</v>
      </c>
      <c r="N47" s="1900">
        <f>ROUND(364*(1-C88),2)</f>
        <v>364</v>
      </c>
      <c r="O47" s="2084">
        <f>ROUND(393*(1-C88),2)</f>
        <v>393</v>
      </c>
      <c r="P47" s="2026">
        <f>ROUND(283*(1-C88),2)</f>
        <v>283</v>
      </c>
      <c r="Q47" s="2933">
        <f>ROUND(332*(1-C88),2)</f>
        <v>332</v>
      </c>
      <c r="R47" s="2934"/>
      <c r="S47" s="2933" t="s">
        <v>17</v>
      </c>
      <c r="T47" s="2934"/>
    </row>
    <row r="48" spans="1:20" s="97" customFormat="1" ht="23.25" customHeight="1" x14ac:dyDescent="0.3">
      <c r="A48" s="926" t="s">
        <v>810</v>
      </c>
      <c r="B48" s="1333">
        <v>104</v>
      </c>
      <c r="C48" s="927" t="s">
        <v>169</v>
      </c>
      <c r="D48" s="2924" t="s">
        <v>170</v>
      </c>
      <c r="E48" s="2925"/>
      <c r="F48" s="1331">
        <f>ROUND(87*(1-C88),2)</f>
        <v>87</v>
      </c>
      <c r="G48" s="1331">
        <f>ROUND(104*(1-C88),2)</f>
        <v>104</v>
      </c>
      <c r="H48" s="1337">
        <f>ROUND(110*(1-C88),2)</f>
        <v>110</v>
      </c>
      <c r="I48" s="1331">
        <f>ROUND(132*(1-C88),2)</f>
        <v>132</v>
      </c>
      <c r="J48" s="1331">
        <f>ROUND(115*(1-C88),2)</f>
        <v>115</v>
      </c>
      <c r="K48" s="2926">
        <f>ROUND(118*(1-C88),2)</f>
        <v>118</v>
      </c>
      <c r="L48" s="2927"/>
      <c r="M48" s="1331">
        <f>ROUND(128*(1-C88),2)</f>
        <v>128</v>
      </c>
      <c r="N48" s="1331">
        <f>ROUND(160*(1-C88),2)</f>
        <v>160</v>
      </c>
      <c r="O48" s="1331">
        <f>ROUND(172*(1-C88),2)</f>
        <v>172</v>
      </c>
      <c r="P48" s="1331">
        <f>ROUND(126*(1-C88),2)</f>
        <v>126</v>
      </c>
      <c r="Q48" s="2928">
        <f>ROUND(147*(1-C88),2)</f>
        <v>147</v>
      </c>
      <c r="R48" s="2929"/>
      <c r="S48" s="2928" t="s">
        <v>17</v>
      </c>
      <c r="T48" s="2929"/>
    </row>
    <row r="49" spans="1:21" s="97" customFormat="1" ht="23.25" customHeight="1" x14ac:dyDescent="0.3">
      <c r="A49" s="103" t="s">
        <v>2567</v>
      </c>
      <c r="B49" s="1321">
        <v>83</v>
      </c>
      <c r="C49" s="1898" t="s">
        <v>169</v>
      </c>
      <c r="D49" s="2930" t="s">
        <v>170</v>
      </c>
      <c r="E49" s="2930"/>
      <c r="F49" s="1900">
        <f>ROUND(72*(1-C88),2)</f>
        <v>72</v>
      </c>
      <c r="G49" s="1900">
        <f>ROUND(86*(1-C88),2)</f>
        <v>86</v>
      </c>
      <c r="H49" s="1334">
        <f>ROUND(91*(1-C88),2)</f>
        <v>91</v>
      </c>
      <c r="I49" s="2346">
        <f>ROUND(108*(1-C88),2)</f>
        <v>108</v>
      </c>
      <c r="J49" s="1900">
        <f>ROUND(95*(1-C88),2)</f>
        <v>95</v>
      </c>
      <c r="K49" s="2904">
        <f>ROUND(97*(1-C88),2)</f>
        <v>97</v>
      </c>
      <c r="L49" s="2905"/>
      <c r="M49" s="1900">
        <f>ROUND(105*(1-C88),2)</f>
        <v>105</v>
      </c>
      <c r="N49" s="1900">
        <f>ROUND(131*(1-C88),2)</f>
        <v>131</v>
      </c>
      <c r="O49" s="2084">
        <f>ROUND(140*(1-C88),2)</f>
        <v>140</v>
      </c>
      <c r="P49" s="2026">
        <f>ROUND(104*(1-C88),2)</f>
        <v>104</v>
      </c>
      <c r="Q49" s="2906">
        <f>ROUND(120*(1-C88),2)</f>
        <v>120</v>
      </c>
      <c r="R49" s="2923"/>
      <c r="S49" s="2906" t="s">
        <v>17</v>
      </c>
      <c r="T49" s="2923"/>
    </row>
    <row r="50" spans="1:21" s="105" customFormat="1" ht="23.25" customHeight="1" x14ac:dyDescent="0.3">
      <c r="A50" s="2920" t="s">
        <v>2460</v>
      </c>
      <c r="B50" s="2921"/>
      <c r="C50" s="2921"/>
      <c r="D50" s="2921"/>
      <c r="E50" s="2921"/>
      <c r="F50" s="2921"/>
      <c r="G50" s="2921"/>
      <c r="H50" s="2921"/>
      <c r="I50" s="2921"/>
      <c r="J50" s="2921"/>
      <c r="K50" s="2921"/>
      <c r="L50" s="2921"/>
      <c r="M50" s="2921"/>
      <c r="N50" s="2921"/>
      <c r="O50" s="2921"/>
      <c r="P50" s="2921"/>
      <c r="Q50" s="2921"/>
      <c r="R50" s="2921"/>
      <c r="S50" s="2921"/>
      <c r="T50" s="2922"/>
      <c r="U50" s="92"/>
    </row>
    <row r="51" spans="1:21" ht="23.25" customHeight="1" x14ac:dyDescent="0.3">
      <c r="A51" s="106" t="s">
        <v>3190</v>
      </c>
      <c r="B51" s="1327">
        <v>145</v>
      </c>
      <c r="C51" s="107" t="s">
        <v>169</v>
      </c>
      <c r="D51" s="2908" t="s">
        <v>196</v>
      </c>
      <c r="E51" s="2909"/>
      <c r="F51" s="1328" t="s">
        <v>17</v>
      </c>
      <c r="G51" s="1328">
        <f>ROUND(148*(1-C88),2)</f>
        <v>148</v>
      </c>
      <c r="H51" s="1330" t="s">
        <v>17</v>
      </c>
      <c r="I51" s="1328" t="s">
        <v>17</v>
      </c>
      <c r="J51" s="1328" t="s">
        <v>17</v>
      </c>
      <c r="K51" s="2912" t="s">
        <v>17</v>
      </c>
      <c r="L51" s="2936"/>
      <c r="M51" s="1907" t="s">
        <v>17</v>
      </c>
      <c r="N51" s="1329" t="s">
        <v>17</v>
      </c>
      <c r="O51" s="1329" t="s">
        <v>17</v>
      </c>
      <c r="P51" s="2025" t="s">
        <v>17</v>
      </c>
      <c r="Q51" s="2912" t="s">
        <v>17</v>
      </c>
      <c r="R51" s="2937"/>
      <c r="S51" s="2912" t="s">
        <v>17</v>
      </c>
      <c r="T51" s="2937"/>
    </row>
    <row r="52" spans="1:21" s="97" customFormat="1" ht="23.25" customHeight="1" x14ac:dyDescent="0.3">
      <c r="A52" s="98" t="s">
        <v>197</v>
      </c>
      <c r="B52" s="1318">
        <v>312</v>
      </c>
      <c r="C52" s="100" t="s">
        <v>169</v>
      </c>
      <c r="D52" s="2924" t="s">
        <v>170</v>
      </c>
      <c r="E52" s="2925"/>
      <c r="F52" s="1317">
        <f>ROUND(232*(1-C88),2)</f>
        <v>232</v>
      </c>
      <c r="G52" s="1317">
        <f>ROUND(283*(1-C88),2)</f>
        <v>283</v>
      </c>
      <c r="H52" s="1317">
        <f>ROUND(302*(1-C88),2)</f>
        <v>302</v>
      </c>
      <c r="I52" s="1317">
        <f>ROUND(368*(1-C88),2)</f>
        <v>368</v>
      </c>
      <c r="J52" s="1317">
        <f>ROUND(317*(1-C88),2)</f>
        <v>317</v>
      </c>
      <c r="K52" s="2926">
        <f>ROUND(326*(1-C88),2)</f>
        <v>326</v>
      </c>
      <c r="L52" s="2927"/>
      <c r="M52" s="1901">
        <f>ROUND(356*(1-C88),2)</f>
        <v>356</v>
      </c>
      <c r="N52" s="1331">
        <f>ROUND(451*(1-C88),2)</f>
        <v>451</v>
      </c>
      <c r="O52" s="1331">
        <f>ROUND(488*(1-C88),2)</f>
        <v>488</v>
      </c>
      <c r="P52" s="2024">
        <f>ROUND(350*(1-C88),2)</f>
        <v>350</v>
      </c>
      <c r="Q52" s="2928">
        <f>ROUND(412*(1-C88),2)</f>
        <v>412</v>
      </c>
      <c r="R52" s="2929"/>
      <c r="S52" s="2928" t="s">
        <v>17</v>
      </c>
      <c r="T52" s="2929"/>
    </row>
    <row r="53" spans="1:21" s="1493" customFormat="1" ht="23.25" customHeight="1" x14ac:dyDescent="0.3">
      <c r="A53" s="103" t="s">
        <v>198</v>
      </c>
      <c r="B53" s="1321">
        <v>250</v>
      </c>
      <c r="C53" s="1898" t="s">
        <v>169</v>
      </c>
      <c r="D53" s="2902" t="s">
        <v>170</v>
      </c>
      <c r="E53" s="2903"/>
      <c r="F53" s="1900">
        <f>ROUND(189*(1-C88),2)</f>
        <v>189</v>
      </c>
      <c r="G53" s="1900">
        <f>ROUND(229*(1-C88),2)</f>
        <v>229</v>
      </c>
      <c r="H53" s="1900">
        <f>ROUND(245*(1-C88),2)</f>
        <v>245</v>
      </c>
      <c r="I53" s="2346">
        <f>ROUND(297*(1-C88),2)</f>
        <v>297</v>
      </c>
      <c r="J53" s="1900">
        <f>ROUND(256*(1-C88),2)</f>
        <v>256</v>
      </c>
      <c r="K53" s="2904">
        <f>ROUND(264*(1-C88),2)</f>
        <v>264</v>
      </c>
      <c r="L53" s="2905"/>
      <c r="M53" s="1899">
        <f>ROUND(288*(1-C88),2)</f>
        <v>288</v>
      </c>
      <c r="N53" s="1900">
        <f>ROUND(364*(1-C88),2)</f>
        <v>364</v>
      </c>
      <c r="O53" s="2084">
        <f>ROUND(393*(1-C88),2)</f>
        <v>393</v>
      </c>
      <c r="P53" s="2023">
        <f>ROUND(283*(1-C88),2)</f>
        <v>283</v>
      </c>
      <c r="Q53" s="2906">
        <f>ROUND(332*(1-C88),2)</f>
        <v>332</v>
      </c>
      <c r="R53" s="2907"/>
      <c r="S53" s="2906" t="s">
        <v>17</v>
      </c>
      <c r="T53" s="2907"/>
    </row>
    <row r="54" spans="1:21" s="97" customFormat="1" ht="23.25" customHeight="1" x14ac:dyDescent="0.3">
      <c r="A54" s="98" t="s">
        <v>199</v>
      </c>
      <c r="B54" s="1318">
        <v>96</v>
      </c>
      <c r="C54" s="100" t="s">
        <v>169</v>
      </c>
      <c r="D54" s="2924" t="s">
        <v>170</v>
      </c>
      <c r="E54" s="2925"/>
      <c r="F54" s="1317">
        <f>ROUND(81*(1-C88),2)</f>
        <v>81</v>
      </c>
      <c r="G54" s="1317">
        <f>ROUND(97*(1-C88),2)</f>
        <v>97</v>
      </c>
      <c r="H54" s="1317">
        <f>ROUND(103*(1-C88),2)</f>
        <v>103</v>
      </c>
      <c r="I54" s="1317">
        <f>ROUND(123*(1-C88),2)</f>
        <v>123</v>
      </c>
      <c r="J54" s="1317">
        <f>ROUND(107*(1-C88),2)</f>
        <v>107</v>
      </c>
      <c r="K54" s="2926">
        <f>ROUND(110*(1-C88),2)</f>
        <v>110</v>
      </c>
      <c r="L54" s="2927"/>
      <c r="M54" s="1901">
        <f>ROUND(120*(1-C88),2)</f>
        <v>120</v>
      </c>
      <c r="N54" s="1331">
        <f>ROUND(149*(1-C88),2)</f>
        <v>149</v>
      </c>
      <c r="O54" s="1331">
        <f>ROUND(160*(1-C88),2)</f>
        <v>160</v>
      </c>
      <c r="P54" s="2024">
        <f>ROUND(118*(1-C88),2)</f>
        <v>118</v>
      </c>
      <c r="Q54" s="2928">
        <f>ROUND(137*(1-C88),2)</f>
        <v>137</v>
      </c>
      <c r="R54" s="2935"/>
      <c r="S54" s="2928" t="s">
        <v>17</v>
      </c>
      <c r="T54" s="2935"/>
    </row>
    <row r="55" spans="1:21" ht="23.25" customHeight="1" x14ac:dyDescent="0.3">
      <c r="A55" s="104" t="s">
        <v>200</v>
      </c>
      <c r="B55" s="1326">
        <v>225</v>
      </c>
      <c r="C55" s="925" t="s">
        <v>169</v>
      </c>
      <c r="D55" s="2902" t="s">
        <v>170</v>
      </c>
      <c r="E55" s="2903"/>
      <c r="F55" s="1332">
        <f>ROUND(189*(1-C88),2)</f>
        <v>189</v>
      </c>
      <c r="G55" s="1332">
        <f>ROUND(229*(1-C88),2)</f>
        <v>229</v>
      </c>
      <c r="H55" s="1332">
        <f>ROUND(245*(1-C88),2)</f>
        <v>245</v>
      </c>
      <c r="I55" s="1332">
        <f>ROUND(297*(1-C88),2)</f>
        <v>297</v>
      </c>
      <c r="J55" s="1332">
        <f>ROUND(256*(1-C88),2)</f>
        <v>256</v>
      </c>
      <c r="K55" s="2904">
        <f>ROUND(264*(1-C88),2)</f>
        <v>264</v>
      </c>
      <c r="L55" s="2905"/>
      <c r="M55" s="1899">
        <f>ROUND(288*(1-C88),2)</f>
        <v>288</v>
      </c>
      <c r="N55" s="1900">
        <f>ROUND(364*(1-C88),2)</f>
        <v>364</v>
      </c>
      <c r="O55" s="2084">
        <f>ROUND(393*(1-C88),2)</f>
        <v>393</v>
      </c>
      <c r="P55" s="2023">
        <f>ROUND(283*(1-C88),2)</f>
        <v>283</v>
      </c>
      <c r="Q55" s="2906">
        <f>ROUND(332*(1-C88),2)</f>
        <v>332</v>
      </c>
      <c r="R55" s="2907"/>
      <c r="S55" s="2906" t="s">
        <v>17</v>
      </c>
      <c r="T55" s="2907"/>
    </row>
    <row r="56" spans="1:21" s="97" customFormat="1" ht="23.25" customHeight="1" x14ac:dyDescent="0.3">
      <c r="A56" s="926" t="s">
        <v>201</v>
      </c>
      <c r="B56" s="1333">
        <v>415</v>
      </c>
      <c r="C56" s="927" t="s">
        <v>169</v>
      </c>
      <c r="D56" s="2924" t="s">
        <v>170</v>
      </c>
      <c r="E56" s="2925"/>
      <c r="F56" s="1331">
        <f>ROUND(305*(1-C88),2)</f>
        <v>305</v>
      </c>
      <c r="G56" s="1331">
        <f>ROUND(372*(1-C88),2)</f>
        <v>372</v>
      </c>
      <c r="H56" s="1331">
        <f>ROUND(398*(1-C88),2)</f>
        <v>398</v>
      </c>
      <c r="I56" s="1331">
        <f>ROUND(485*(1-C88),2)</f>
        <v>485</v>
      </c>
      <c r="J56" s="1331">
        <f>ROUND(418*(1-C88),2)</f>
        <v>418</v>
      </c>
      <c r="K56" s="2926">
        <f>ROUND(430*(1-C88),2)</f>
        <v>430</v>
      </c>
      <c r="L56" s="2927"/>
      <c r="M56" s="1901">
        <f>ROUND(470*(1-C88),2)</f>
        <v>470</v>
      </c>
      <c r="N56" s="1331">
        <f>ROUND(597*(1-C88),2)</f>
        <v>597</v>
      </c>
      <c r="O56" s="1331">
        <f>ROUND(645*(1-C88),2)</f>
        <v>645</v>
      </c>
      <c r="P56" s="2024">
        <f>ROUND(462*(1-C88),2)</f>
        <v>462</v>
      </c>
      <c r="Q56" s="2928">
        <f>ROUND(544*(1-C88),2)</f>
        <v>544</v>
      </c>
      <c r="R56" s="2935"/>
      <c r="S56" s="2928" t="s">
        <v>17</v>
      </c>
      <c r="T56" s="2935"/>
    </row>
    <row r="57" spans="1:21" ht="23.25" customHeight="1" x14ac:dyDescent="0.3">
      <c r="A57" s="106" t="s">
        <v>202</v>
      </c>
      <c r="B57" s="1327">
        <v>397</v>
      </c>
      <c r="C57" s="107" t="s">
        <v>169</v>
      </c>
      <c r="D57" s="2902" t="s">
        <v>170</v>
      </c>
      <c r="E57" s="2903"/>
      <c r="F57" s="1328">
        <f>ROUND(305*(1-C88),2)</f>
        <v>305</v>
      </c>
      <c r="G57" s="1328">
        <f>ROUND(372*(1-C88),2)</f>
        <v>372</v>
      </c>
      <c r="H57" s="1328">
        <f>ROUND(398*(1-C88),2)</f>
        <v>398</v>
      </c>
      <c r="I57" s="1328">
        <f>ROUND(485*(1-C88),2)</f>
        <v>485</v>
      </c>
      <c r="J57" s="1328">
        <f>ROUND(418*(1-C88),2)</f>
        <v>418</v>
      </c>
      <c r="K57" s="2904">
        <f>ROUND(430*(1-C88),2)</f>
        <v>430</v>
      </c>
      <c r="L57" s="2905"/>
      <c r="M57" s="1899">
        <f>ROUND(470*(1-C88),2)</f>
        <v>470</v>
      </c>
      <c r="N57" s="1900">
        <f>ROUND(597*(1-C88),2)</f>
        <v>597</v>
      </c>
      <c r="O57" s="2084">
        <f>ROUND(645*(1-C88),2)</f>
        <v>645</v>
      </c>
      <c r="P57" s="2023">
        <f>ROUND(462*(1-C88),2)</f>
        <v>462</v>
      </c>
      <c r="Q57" s="2906">
        <f>ROUND(544*(1-C88),2)</f>
        <v>544</v>
      </c>
      <c r="R57" s="2907"/>
      <c r="S57" s="2906" t="s">
        <v>17</v>
      </c>
      <c r="T57" s="2907"/>
    </row>
    <row r="58" spans="1:21" s="97" customFormat="1" ht="23.25" customHeight="1" x14ac:dyDescent="0.3">
      <c r="A58" s="98" t="s">
        <v>203</v>
      </c>
      <c r="B58" s="1318">
        <v>250</v>
      </c>
      <c r="C58" s="100" t="s">
        <v>169</v>
      </c>
      <c r="D58" s="2924" t="s">
        <v>170</v>
      </c>
      <c r="E58" s="2925"/>
      <c r="F58" s="1317">
        <f>ROUND(189*(1-C88),2)</f>
        <v>189</v>
      </c>
      <c r="G58" s="1317">
        <f>ROUND(229*(1-C88),2)</f>
        <v>229</v>
      </c>
      <c r="H58" s="1317">
        <f>ROUND(245*(1-C88),2)</f>
        <v>245</v>
      </c>
      <c r="I58" s="1317">
        <f>ROUND(297*(1-C88),2)</f>
        <v>297</v>
      </c>
      <c r="J58" s="1317">
        <f>ROUND(256*(1-C88),2)</f>
        <v>256</v>
      </c>
      <c r="K58" s="2926">
        <f>ROUND(264*(1-C88),2)</f>
        <v>264</v>
      </c>
      <c r="L58" s="2927"/>
      <c r="M58" s="1901">
        <f>ROUND(288*(1-C88),2)</f>
        <v>288</v>
      </c>
      <c r="N58" s="1331">
        <f>ROUND(364*(1-C88),2)</f>
        <v>364</v>
      </c>
      <c r="O58" s="1331">
        <f>ROUND(393*(1-C88),2)</f>
        <v>393</v>
      </c>
      <c r="P58" s="2024">
        <f>ROUND(283*(1-C88),2)</f>
        <v>283</v>
      </c>
      <c r="Q58" s="2928">
        <f>ROUND(332*(1-C88),2)</f>
        <v>332</v>
      </c>
      <c r="R58" s="2935"/>
      <c r="S58" s="2928" t="s">
        <v>17</v>
      </c>
      <c r="T58" s="2935"/>
    </row>
    <row r="59" spans="1:21" ht="23.25" customHeight="1" x14ac:dyDescent="0.3">
      <c r="A59" s="2939" t="s">
        <v>1837</v>
      </c>
      <c r="B59" s="2940"/>
      <c r="C59" s="2940"/>
      <c r="D59" s="2940"/>
      <c r="E59" s="2940"/>
      <c r="F59" s="2940"/>
      <c r="G59" s="2940"/>
      <c r="H59" s="2940"/>
      <c r="I59" s="2940"/>
      <c r="J59" s="2940"/>
      <c r="K59" s="2940"/>
      <c r="L59" s="2940"/>
      <c r="M59" s="2940"/>
      <c r="N59" s="2940"/>
      <c r="O59" s="2940"/>
      <c r="P59" s="2940"/>
      <c r="Q59" s="2940"/>
      <c r="R59" s="2940"/>
      <c r="S59" s="2940"/>
      <c r="T59" s="2941"/>
      <c r="U59" s="85"/>
    </row>
    <row r="60" spans="1:21" ht="23.25" customHeight="1" x14ac:dyDescent="0.3">
      <c r="A60" s="103" t="s">
        <v>204</v>
      </c>
      <c r="B60" s="1321">
        <v>200</v>
      </c>
      <c r="C60" s="1898" t="s">
        <v>169</v>
      </c>
      <c r="D60" s="2902" t="s">
        <v>170</v>
      </c>
      <c r="E60" s="2903"/>
      <c r="F60" s="1900">
        <f>ROUND(159*(1-C88),2)</f>
        <v>159</v>
      </c>
      <c r="G60" s="1900">
        <f>ROUND(193*(1-C88),2)</f>
        <v>193</v>
      </c>
      <c r="H60" s="1328">
        <f>ROUND(206*(1-C88),2)</f>
        <v>206</v>
      </c>
      <c r="I60" s="2346">
        <f>ROUND(250*(1-C88),2)</f>
        <v>250</v>
      </c>
      <c r="J60" s="1900">
        <f>ROUND(216*(1-C88),2)</f>
        <v>216</v>
      </c>
      <c r="K60" s="2904">
        <f>ROUND(222*(1-C88),2)</f>
        <v>222</v>
      </c>
      <c r="L60" s="2905"/>
      <c r="M60" s="1900">
        <f>ROUND(242*(1-C88),2)</f>
        <v>242</v>
      </c>
      <c r="N60" s="1334">
        <f>ROUND(306*(1-C88),2)</f>
        <v>306</v>
      </c>
      <c r="O60" s="1334">
        <f>ROUND(330*(1-C88),2)</f>
        <v>330</v>
      </c>
      <c r="P60" s="2026">
        <f>ROUND(238*(1-C88),2)</f>
        <v>238</v>
      </c>
      <c r="Q60" s="2933">
        <f>ROUND(279*(1-C88),2)</f>
        <v>279</v>
      </c>
      <c r="R60" s="2933"/>
      <c r="S60" s="2933" t="s">
        <v>17</v>
      </c>
      <c r="T60" s="2933"/>
    </row>
    <row r="61" spans="1:21" s="97" customFormat="1" ht="23.25" customHeight="1" x14ac:dyDescent="0.3">
      <c r="A61" s="93" t="s">
        <v>205</v>
      </c>
      <c r="B61" s="1335">
        <v>235</v>
      </c>
      <c r="C61" s="1045" t="s">
        <v>169</v>
      </c>
      <c r="D61" s="2924" t="s">
        <v>170</v>
      </c>
      <c r="E61" s="2925"/>
      <c r="F61" s="1336">
        <f>ROUND(189*(1-C88),2)</f>
        <v>189</v>
      </c>
      <c r="G61" s="1336">
        <f>ROUND(229*(1-C88),2)</f>
        <v>229</v>
      </c>
      <c r="H61" s="1317">
        <f>ROUND(245*(1-C88),2)</f>
        <v>245</v>
      </c>
      <c r="I61" s="1336">
        <f>ROUND(297*(1-C88),2)</f>
        <v>297</v>
      </c>
      <c r="J61" s="1336">
        <f>ROUND(256*(1-C88),2)</f>
        <v>256</v>
      </c>
      <c r="K61" s="2926">
        <f>ROUND(264*(1-C88),2)</f>
        <v>264</v>
      </c>
      <c r="L61" s="2927"/>
      <c r="M61" s="1336">
        <f>ROUND(288*(1-C88),2)</f>
        <v>288</v>
      </c>
      <c r="N61" s="1337">
        <f>ROUND(364*(1-C88),2)</f>
        <v>364</v>
      </c>
      <c r="O61" s="1337">
        <f>ROUND(393*(1-C88),2)</f>
        <v>393</v>
      </c>
      <c r="P61" s="1336">
        <f>ROUND(286*(1-C88),2)</f>
        <v>286</v>
      </c>
      <c r="Q61" s="2942">
        <f>ROUND(332*(1-C88),2)</f>
        <v>332</v>
      </c>
      <c r="R61" s="2943"/>
      <c r="S61" s="2942" t="s">
        <v>17</v>
      </c>
      <c r="T61" s="2943"/>
    </row>
    <row r="62" spans="1:21" ht="23.25" customHeight="1" x14ac:dyDescent="0.3">
      <c r="A62" s="103" t="s">
        <v>206</v>
      </c>
      <c r="B62" s="1321">
        <v>270</v>
      </c>
      <c r="C62" s="1898" t="s">
        <v>169</v>
      </c>
      <c r="D62" s="2902" t="s">
        <v>170</v>
      </c>
      <c r="E62" s="2903"/>
      <c r="F62" s="1900">
        <f>ROUND(232*(1-C88),2)</f>
        <v>232</v>
      </c>
      <c r="G62" s="1900">
        <f>ROUND(283*(1-C88),2)</f>
        <v>283</v>
      </c>
      <c r="H62" s="1900">
        <f>ROUND(302*(1-C88),2)</f>
        <v>302</v>
      </c>
      <c r="I62" s="2346">
        <f>ROUND(368*(1-C88),2)</f>
        <v>368</v>
      </c>
      <c r="J62" s="1900">
        <f>ROUND(317*(1-C88),2)</f>
        <v>317</v>
      </c>
      <c r="K62" s="2904">
        <f>ROUND(326*(1-C88),2)</f>
        <v>326</v>
      </c>
      <c r="L62" s="2905"/>
      <c r="M62" s="1900">
        <f>ROUND(356*(1-C88),2)</f>
        <v>356</v>
      </c>
      <c r="N62" s="1334">
        <f>ROUND(451*(1-C88),2)</f>
        <v>451</v>
      </c>
      <c r="O62" s="1334">
        <f>ROUND(488*(1-C88),2)</f>
        <v>488</v>
      </c>
      <c r="P62" s="2026">
        <f>ROUND(350*(1-C88),2)</f>
        <v>350</v>
      </c>
      <c r="Q62" s="2906">
        <f>ROUND(412*(1-C88),2)</f>
        <v>412</v>
      </c>
      <c r="R62" s="2923"/>
      <c r="S62" s="2906" t="s">
        <v>17</v>
      </c>
      <c r="T62" s="2923"/>
    </row>
    <row r="63" spans="1:21" s="97" customFormat="1" ht="23.25" customHeight="1" x14ac:dyDescent="0.3">
      <c r="A63" s="98" t="s">
        <v>207</v>
      </c>
      <c r="B63" s="1318">
        <v>175</v>
      </c>
      <c r="C63" s="100" t="s">
        <v>169</v>
      </c>
      <c r="D63" s="2924" t="s">
        <v>170</v>
      </c>
      <c r="E63" s="2925"/>
      <c r="F63" s="1317">
        <f>ROUND(139*(1-C88),2)</f>
        <v>139</v>
      </c>
      <c r="G63" s="1317">
        <f>ROUND(168*(1-C88),2)</f>
        <v>168</v>
      </c>
      <c r="H63" s="1317">
        <f>ROUND(179*(1-C88),2)</f>
        <v>179</v>
      </c>
      <c r="I63" s="1317">
        <f>ROUND(216*(1-C88),2)</f>
        <v>216</v>
      </c>
      <c r="J63" s="1317">
        <f>ROUND(187*(1-C88),2)</f>
        <v>187</v>
      </c>
      <c r="K63" s="2926">
        <f>ROUND(192*(1-C88),2)</f>
        <v>192</v>
      </c>
      <c r="L63" s="2927"/>
      <c r="M63" s="1317">
        <f>ROUND(210*(1-C88),2)</f>
        <v>210</v>
      </c>
      <c r="N63" s="1337">
        <f>ROUND(264*(1-C88),2)</f>
        <v>264</v>
      </c>
      <c r="O63" s="1337">
        <f>ROUND(285*(1-C88),2)</f>
        <v>285</v>
      </c>
      <c r="P63" s="1317">
        <f>ROUND(206*(1-C88),2)</f>
        <v>206</v>
      </c>
      <c r="Q63" s="2928">
        <f>ROUND(241*(1-C88),2)</f>
        <v>241</v>
      </c>
      <c r="R63" s="2938"/>
      <c r="S63" s="2928" t="s">
        <v>17</v>
      </c>
      <c r="T63" s="2938"/>
    </row>
    <row r="64" spans="1:21" ht="23.25" customHeight="1" x14ac:dyDescent="0.3">
      <c r="A64" s="103" t="s">
        <v>208</v>
      </c>
      <c r="B64" s="1321">
        <v>200</v>
      </c>
      <c r="C64" s="1898" t="s">
        <v>169</v>
      </c>
      <c r="D64" s="2902" t="s">
        <v>170</v>
      </c>
      <c r="E64" s="2903"/>
      <c r="F64" s="1900">
        <f>ROUND(159*(1-C88),2)</f>
        <v>159</v>
      </c>
      <c r="G64" s="1900">
        <f>ROUND(193*(1-C88),2)</f>
        <v>193</v>
      </c>
      <c r="H64" s="1900">
        <f>ROUND(206*(1-C88),2)</f>
        <v>206</v>
      </c>
      <c r="I64" s="2346">
        <f>ROUND(250*(1-C88),2)</f>
        <v>250</v>
      </c>
      <c r="J64" s="1900">
        <f>ROUND(216*(1-C88),2)</f>
        <v>216</v>
      </c>
      <c r="K64" s="2904">
        <f>ROUND(222*(1-C88),2)</f>
        <v>222</v>
      </c>
      <c r="L64" s="2905"/>
      <c r="M64" s="1900">
        <f>ROUND(242*(1-C88),2)</f>
        <v>242</v>
      </c>
      <c r="N64" s="1334">
        <f>ROUND(306*(1-C88),2)</f>
        <v>306</v>
      </c>
      <c r="O64" s="1334">
        <f>ROUND(330*(1-C88),2)</f>
        <v>330</v>
      </c>
      <c r="P64" s="2026">
        <f>ROUND(238*(1-C88),2)</f>
        <v>238</v>
      </c>
      <c r="Q64" s="2906">
        <f>ROUND(279*(1-C88),2)</f>
        <v>279</v>
      </c>
      <c r="R64" s="2938"/>
      <c r="S64" s="2906" t="s">
        <v>17</v>
      </c>
      <c r="T64" s="2938"/>
    </row>
    <row r="65" spans="1:21" s="105" customFormat="1" ht="23.25" customHeight="1" x14ac:dyDescent="0.3">
      <c r="A65" s="2920" t="s">
        <v>209</v>
      </c>
      <c r="B65" s="2921"/>
      <c r="C65" s="2921"/>
      <c r="D65" s="2921"/>
      <c r="E65" s="2921"/>
      <c r="F65" s="2921"/>
      <c r="G65" s="2921"/>
      <c r="H65" s="2921"/>
      <c r="I65" s="2921"/>
      <c r="J65" s="2921"/>
      <c r="K65" s="2921"/>
      <c r="L65" s="2921"/>
      <c r="M65" s="2921"/>
      <c r="N65" s="2921"/>
      <c r="O65" s="2921"/>
      <c r="P65" s="2921"/>
      <c r="Q65" s="2921"/>
      <c r="R65" s="2921"/>
      <c r="S65" s="2921"/>
      <c r="T65" s="2922"/>
      <c r="U65" s="92"/>
    </row>
    <row r="66" spans="1:21" s="105" customFormat="1" ht="23.25" customHeight="1" x14ac:dyDescent="0.3">
      <c r="A66" s="108" t="s">
        <v>1689</v>
      </c>
      <c r="B66" s="108"/>
      <c r="C66" s="109" t="s">
        <v>107</v>
      </c>
      <c r="D66" s="2883" t="s">
        <v>17</v>
      </c>
      <c r="E66" s="2884"/>
      <c r="F66" s="1338" t="s">
        <v>17</v>
      </c>
      <c r="G66" s="1339">
        <f>ROUND(537*(1-F88),2)</f>
        <v>537</v>
      </c>
      <c r="H66" s="1338" t="s">
        <v>17</v>
      </c>
      <c r="I66" s="2356" t="s">
        <v>17</v>
      </c>
      <c r="J66" s="1340" t="s">
        <v>17</v>
      </c>
      <c r="K66" s="2946" t="s">
        <v>17</v>
      </c>
      <c r="L66" s="2947"/>
      <c r="M66" s="1341" t="s">
        <v>17</v>
      </c>
      <c r="N66" s="1342" t="s">
        <v>17</v>
      </c>
      <c r="O66" s="1342" t="s">
        <v>17</v>
      </c>
      <c r="P66" s="1341" t="s">
        <v>17</v>
      </c>
      <c r="Q66" s="2899" t="s">
        <v>17</v>
      </c>
      <c r="R66" s="2948"/>
      <c r="S66" s="2899" t="s">
        <v>17</v>
      </c>
      <c r="T66" s="2948"/>
    </row>
    <row r="67" spans="1:21" s="97" customFormat="1" ht="23.25" customHeight="1" x14ac:dyDescent="0.3">
      <c r="A67" s="98" t="s">
        <v>210</v>
      </c>
      <c r="B67" s="1318">
        <v>80</v>
      </c>
      <c r="C67" s="100" t="s">
        <v>169</v>
      </c>
      <c r="D67" s="2889" t="s">
        <v>170</v>
      </c>
      <c r="E67" s="2890"/>
      <c r="F67" s="1317">
        <f>ROUND(72*(1-C88),2)</f>
        <v>72</v>
      </c>
      <c r="G67" s="1317">
        <f>ROUND(86*(1-C88),2)</f>
        <v>86</v>
      </c>
      <c r="H67" s="1317">
        <f>ROUND(91*(1-C88),2)</f>
        <v>91</v>
      </c>
      <c r="I67" s="1317">
        <f>ROUND(108*(1-C88),2)</f>
        <v>108</v>
      </c>
      <c r="J67" s="1317">
        <f>ROUND(95*(1-C88),2)</f>
        <v>95</v>
      </c>
      <c r="K67" s="2891">
        <f>ROUND(97*(1-C88),2)</f>
        <v>97</v>
      </c>
      <c r="L67" s="2892"/>
      <c r="M67" s="1317">
        <f>ROUND(105*(1-C88),2)</f>
        <v>105</v>
      </c>
      <c r="N67" s="1343">
        <f>ROUND(131*(1-C88),2)</f>
        <v>131</v>
      </c>
      <c r="O67" s="1343">
        <f>ROUND(140*(1-C88),2)</f>
        <v>140</v>
      </c>
      <c r="P67" s="1317">
        <f>ROUND(104*(1-C88),2)</f>
        <v>104</v>
      </c>
      <c r="Q67" s="2891">
        <f>ROUND(120*(1-C88),2)</f>
        <v>120</v>
      </c>
      <c r="R67" s="2892"/>
      <c r="S67" s="2891">
        <f>ROUND(151*(1-C88),2)</f>
        <v>151</v>
      </c>
      <c r="T67" s="2944"/>
    </row>
    <row r="68" spans="1:21" ht="23.25" customHeight="1" x14ac:dyDescent="0.3">
      <c r="A68" s="106" t="s">
        <v>211</v>
      </c>
      <c r="B68" s="1327">
        <v>89</v>
      </c>
      <c r="C68" s="107" t="s">
        <v>169</v>
      </c>
      <c r="D68" s="2908" t="s">
        <v>170</v>
      </c>
      <c r="E68" s="2909"/>
      <c r="F68" s="1325">
        <f>ROUND(77*(1-C88),2)</f>
        <v>77</v>
      </c>
      <c r="G68" s="1325">
        <f>ROUND(91*(1-C88),2)</f>
        <v>91</v>
      </c>
      <c r="H68" s="1325">
        <f>ROUND(97*(1-C88),2)</f>
        <v>97</v>
      </c>
      <c r="I68" s="1325">
        <f>ROUND(115*(1-C88),2)</f>
        <v>115</v>
      </c>
      <c r="J68" s="1325">
        <f>ROUND(104*(1-C88),2)</f>
        <v>104</v>
      </c>
      <c r="K68" s="2910">
        <f>ROUND(103*(1-C88),2)</f>
        <v>103</v>
      </c>
      <c r="L68" s="2911"/>
      <c r="M68" s="1325">
        <f>ROUND(112*(1-C88),2)</f>
        <v>112</v>
      </c>
      <c r="N68" s="1344">
        <f>ROUND(139*(1-C88),2)</f>
        <v>139</v>
      </c>
      <c r="O68" s="1344">
        <f>ROUND(149*(1-C88),2)</f>
        <v>149</v>
      </c>
      <c r="P68" s="1325">
        <f>ROUND(110*(1-C88),2)</f>
        <v>110</v>
      </c>
      <c r="Q68" s="2910">
        <f>ROUND(128*(1-C88),2)</f>
        <v>128</v>
      </c>
      <c r="R68" s="2911"/>
      <c r="S68" s="2910">
        <f>ROUND(160*(1-C88),2)</f>
        <v>160</v>
      </c>
      <c r="T68" s="2945"/>
    </row>
    <row r="69" spans="1:21" ht="20.25" x14ac:dyDescent="0.3">
      <c r="A69" s="2940" t="s">
        <v>212</v>
      </c>
      <c r="B69" s="2940"/>
      <c r="C69" s="2940"/>
      <c r="D69" s="2940"/>
      <c r="E69" s="2940"/>
      <c r="F69" s="2940"/>
      <c r="G69" s="2940"/>
      <c r="H69" s="2940"/>
      <c r="I69" s="2940"/>
      <c r="J69" s="2940"/>
      <c r="K69" s="2940"/>
      <c r="L69" s="2940"/>
      <c r="M69" s="2940"/>
      <c r="N69" s="2940"/>
      <c r="O69" s="2940"/>
      <c r="P69" s="2940"/>
      <c r="Q69" s="2940"/>
      <c r="R69" s="2940"/>
      <c r="S69" s="2940"/>
      <c r="T69" s="2941"/>
      <c r="U69" s="85"/>
    </row>
    <row r="70" spans="1:21" ht="37.5" customHeight="1" x14ac:dyDescent="0.3">
      <c r="A70" s="2966" t="s">
        <v>1690</v>
      </c>
      <c r="B70" s="2967"/>
      <c r="C70" s="2970" t="s">
        <v>169</v>
      </c>
      <c r="D70" s="2972">
        <v>0</v>
      </c>
      <c r="E70" s="928" t="s">
        <v>213</v>
      </c>
      <c r="F70" s="980" t="s">
        <v>2228</v>
      </c>
      <c r="G70" s="928" t="s">
        <v>2507</v>
      </c>
      <c r="H70" s="1903" t="s">
        <v>2850</v>
      </c>
      <c r="I70" s="2358" t="s">
        <v>3418</v>
      </c>
      <c r="J70" s="980" t="s">
        <v>214</v>
      </c>
      <c r="K70" s="1904" t="s">
        <v>1769</v>
      </c>
      <c r="L70" s="1434" t="s">
        <v>2849</v>
      </c>
      <c r="M70" s="929" t="s">
        <v>166</v>
      </c>
      <c r="N70" s="929" t="s">
        <v>1906</v>
      </c>
      <c r="O70" s="929" t="s">
        <v>2105</v>
      </c>
      <c r="P70" s="929" t="s">
        <v>162</v>
      </c>
      <c r="Q70" s="929" t="s">
        <v>163</v>
      </c>
      <c r="R70" s="928" t="s">
        <v>215</v>
      </c>
      <c r="S70" s="928" t="s">
        <v>216</v>
      </c>
      <c r="T70" s="928" t="s">
        <v>217</v>
      </c>
    </row>
    <row r="71" spans="1:21" ht="20.25" x14ac:dyDescent="0.2">
      <c r="A71" s="2968"/>
      <c r="B71" s="2969"/>
      <c r="C71" s="2971"/>
      <c r="D71" s="2972"/>
      <c r="E71" s="1846">
        <f>ROUND($D$70*(IF($D$70&gt;625,1619,1408)/1000)*(1-$K$88),2)</f>
        <v>0</v>
      </c>
      <c r="F71" s="1846">
        <f>ROUND($D$70*(IF($D$70&gt;625,1923,1672)/1000)*(1-$K$88),2)</f>
        <v>0</v>
      </c>
      <c r="G71" s="1846">
        <f>ROUND($D$70*(IF($D$70&gt;625,1619,1408)/1000)*(1-$K$88),2)</f>
        <v>0</v>
      </c>
      <c r="H71" s="1849">
        <f>ROUND($D$70*(IF($D$70&gt;625,1645,1425)/1000)*(1-$K$88),2)</f>
        <v>0</v>
      </c>
      <c r="I71" s="1849">
        <f>ROUND($D$70*(IF($D$70&gt;625,1852,1631)/1000)*(1-$K$88),2)</f>
        <v>0</v>
      </c>
      <c r="J71" s="1846">
        <f>ROUND($D$70*(IF($D$70&gt;625,1634,1414)/1000)*(1-$K$88),2)</f>
        <v>0</v>
      </c>
      <c r="K71" s="1846">
        <f>ROUND($D$70*(IF($D$70&gt;625,1686,1466)/1000)*(1-$K$88),2)</f>
        <v>0</v>
      </c>
      <c r="L71" s="1846">
        <f>ROUND($D$70*(IF($D$70&gt;625,1690,1469)/1000)*(1-$K$88),2)</f>
        <v>0</v>
      </c>
      <c r="M71" s="1846">
        <f>ROUND($D$70*(IF($D$70&gt;625,1810,1573)/1000)*(1-$K$88),2)</f>
        <v>0</v>
      </c>
      <c r="N71" s="1846">
        <f>ROUND($D$70*(IF($D$70&gt;625,2059,1791)/1000)*(1-$K$88),2)</f>
        <v>0</v>
      </c>
      <c r="O71" s="1846">
        <f>ROUND($D$70*(IF($D$70&gt;625,2131,1852)/1000)*(1-$K$88),2)</f>
        <v>0</v>
      </c>
      <c r="P71" s="1846">
        <f>ROUND($D$70*(IF($D$70&gt;625,2078,1807)/1000)*(1-$K$88),2)</f>
        <v>0</v>
      </c>
      <c r="Q71" s="1846">
        <f>ROUND($D$70*(IF($D$70&gt;625,2536,2204)/1000)*(1-$K$88),2)</f>
        <v>0</v>
      </c>
      <c r="R71" s="1846">
        <f>ROUND($D$70*(IF($D$70&gt;625,1170,1017)/1000)*(1-$K$88),2)</f>
        <v>0</v>
      </c>
      <c r="S71" s="1846">
        <f>ROUND($D$70*(IF($D$70&gt;625,1435,1248)/1000)*(1-$K$88),2)</f>
        <v>0</v>
      </c>
      <c r="T71" s="1846">
        <f>ROUND($D$70*(IF($D$70&gt;625,1766,1536)/1000)*(1-$K$88),2)</f>
        <v>0</v>
      </c>
    </row>
    <row r="72" spans="1:21" ht="20.25" x14ac:dyDescent="0.3">
      <c r="A72" s="2939" t="s">
        <v>1629</v>
      </c>
      <c r="B72" s="2940"/>
      <c r="C72" s="2940"/>
      <c r="D72" s="2940"/>
      <c r="E72" s="2940"/>
      <c r="F72" s="2940"/>
      <c r="G72" s="2940"/>
      <c r="H72" s="2940"/>
      <c r="I72" s="2940"/>
      <c r="J72" s="2940"/>
      <c r="K72" s="2940"/>
      <c r="L72" s="2940"/>
      <c r="M72" s="2940"/>
      <c r="N72" s="2940"/>
      <c r="O72" s="2940"/>
      <c r="P72" s="2940"/>
      <c r="Q72" s="2940"/>
      <c r="R72" s="2940"/>
      <c r="S72" s="2940"/>
      <c r="T72" s="2941"/>
      <c r="U72" s="85"/>
    </row>
    <row r="73" spans="1:21" ht="39.75" customHeight="1" x14ac:dyDescent="0.3">
      <c r="A73" s="2973" t="s">
        <v>1630</v>
      </c>
      <c r="B73" s="2974"/>
      <c r="C73" s="2979" t="s">
        <v>107</v>
      </c>
      <c r="D73" s="1912" t="s">
        <v>1625</v>
      </c>
      <c r="E73" s="1912" t="s">
        <v>1626</v>
      </c>
      <c r="F73" s="1933" t="s">
        <v>2930</v>
      </c>
      <c r="G73" s="1933" t="s">
        <v>213</v>
      </c>
      <c r="H73" s="2345" t="s">
        <v>3418</v>
      </c>
      <c r="I73" s="1933" t="s">
        <v>2925</v>
      </c>
      <c r="J73" s="1933" t="s">
        <v>2348</v>
      </c>
      <c r="K73" s="1933" t="s">
        <v>1769</v>
      </c>
      <c r="L73" s="1933" t="s">
        <v>2931</v>
      </c>
      <c r="M73" s="1933" t="s">
        <v>165</v>
      </c>
      <c r="N73" s="1933" t="s">
        <v>162</v>
      </c>
      <c r="O73" s="1933" t="s">
        <v>1829</v>
      </c>
      <c r="P73" s="1933" t="s">
        <v>1906</v>
      </c>
      <c r="Q73" s="2982" t="s">
        <v>2104</v>
      </c>
      <c r="R73" s="2982"/>
      <c r="S73" s="2982"/>
      <c r="T73" s="2982"/>
      <c r="U73" s="85"/>
    </row>
    <row r="74" spans="1:21" ht="20.25" hidden="1" customHeight="1" x14ac:dyDescent="0.3">
      <c r="A74" s="2975"/>
      <c r="B74" s="2976"/>
      <c r="C74" s="2980"/>
      <c r="D74" s="2983" t="s">
        <v>2932</v>
      </c>
      <c r="E74" s="2985"/>
      <c r="F74" s="1933">
        <v>850</v>
      </c>
      <c r="G74" s="1933">
        <v>1000</v>
      </c>
      <c r="H74" s="2345">
        <v>1500</v>
      </c>
      <c r="I74" s="1933">
        <v>1250</v>
      </c>
      <c r="J74" s="1933">
        <v>1250</v>
      </c>
      <c r="K74" s="1933">
        <v>1300</v>
      </c>
      <c r="L74" s="1933">
        <v>1400</v>
      </c>
      <c r="M74" s="1933">
        <v>1400</v>
      </c>
      <c r="N74" s="1933">
        <v>1500</v>
      </c>
      <c r="O74" s="1933">
        <v>1500</v>
      </c>
      <c r="P74" s="1933">
        <v>1520</v>
      </c>
      <c r="Q74" s="2983">
        <v>1620</v>
      </c>
      <c r="R74" s="2984"/>
      <c r="S74" s="2984"/>
      <c r="T74" s="2985"/>
      <c r="U74" s="85"/>
    </row>
    <row r="75" spans="1:21" ht="28.5" customHeight="1" x14ac:dyDescent="0.3">
      <c r="A75" s="2977"/>
      <c r="B75" s="2978"/>
      <c r="C75" s="2981"/>
      <c r="D75" s="891">
        <v>390</v>
      </c>
      <c r="E75" s="890">
        <v>390</v>
      </c>
      <c r="F75" s="1935">
        <f>ROUND(((D75+E75)*F74)/1000*(1-O88),2)</f>
        <v>663</v>
      </c>
      <c r="G75" s="1935">
        <f>ROUND(((D75+E75)*G74)/1000*(1-O88),2)</f>
        <v>780</v>
      </c>
      <c r="H75" s="2342">
        <f>ROUND(((D75+E75)*H74)/1000*(1-O88),2)</f>
        <v>1170</v>
      </c>
      <c r="I75" s="1935">
        <f>ROUND(((D75+E75)*I74)/1000*(1-O88),2)</f>
        <v>975</v>
      </c>
      <c r="J75" s="1935">
        <f>ROUND(((D75+E75)*J74)/1000*(1-O88),2)</f>
        <v>975</v>
      </c>
      <c r="K75" s="1935">
        <f>ROUND(((D75+E75)*K74)/1000*(1-O88),2)</f>
        <v>1014</v>
      </c>
      <c r="L75" s="1935">
        <f>ROUND(((D75+E75)*L74)/1000*(1-O88),2)</f>
        <v>1092</v>
      </c>
      <c r="M75" s="1935">
        <f>ROUND(((D75+E75)*M74)/1000*(1-O88),2)</f>
        <v>1092</v>
      </c>
      <c r="N75" s="1935">
        <f>ROUND(((D75+E75)*N74)/1000*(1-O88),2)</f>
        <v>1170</v>
      </c>
      <c r="O75" s="1935">
        <f>ROUND(((D75+E75)*O74)/1000*(1-O88),2)</f>
        <v>1170</v>
      </c>
      <c r="P75" s="1935">
        <f>ROUND(((D75+E75)*P74)/1000*(1-O88),2)</f>
        <v>1185.5999999999999</v>
      </c>
      <c r="Q75" s="2952">
        <f>ROUND(((D75+E75)*Q74)/1000*(1-O88),2)</f>
        <v>1263.5999999999999</v>
      </c>
      <c r="R75" s="2952"/>
      <c r="S75" s="2952"/>
      <c r="T75" s="2952"/>
      <c r="U75" s="85"/>
    </row>
    <row r="76" spans="1:21" ht="20.25" x14ac:dyDescent="0.3">
      <c r="A76" s="113" t="s">
        <v>2355</v>
      </c>
      <c r="B76" s="113"/>
      <c r="C76" s="907"/>
      <c r="D76" s="909"/>
      <c r="E76" s="910"/>
      <c r="F76" s="908"/>
      <c r="G76" s="908"/>
      <c r="H76" s="908"/>
      <c r="I76" s="908"/>
      <c r="J76" s="908"/>
      <c r="K76" s="908"/>
      <c r="L76" s="908"/>
      <c r="M76" s="908"/>
      <c r="N76" s="908"/>
      <c r="O76" s="908"/>
      <c r="Q76" s="908"/>
      <c r="R76" s="908"/>
      <c r="S76" s="908"/>
      <c r="T76" s="908"/>
      <c r="U76" s="85"/>
    </row>
    <row r="77" spans="1:21" ht="20.25" x14ac:dyDescent="0.3">
      <c r="A77" s="113" t="s">
        <v>1692</v>
      </c>
      <c r="B77" s="113"/>
      <c r="C77" s="110"/>
      <c r="D77" s="110"/>
      <c r="E77" s="110"/>
      <c r="F77" s="111"/>
      <c r="G77" s="111"/>
      <c r="H77" s="111"/>
      <c r="I77" s="111"/>
      <c r="J77" s="111"/>
      <c r="K77" s="111"/>
      <c r="L77" s="111"/>
      <c r="M77" s="111"/>
      <c r="N77" s="111"/>
      <c r="O77" s="111"/>
      <c r="Q77" s="111"/>
      <c r="R77" s="111"/>
      <c r="S77" s="111"/>
      <c r="T77" s="111"/>
      <c r="U77" s="85"/>
    </row>
    <row r="78" spans="1:21" ht="20.25" x14ac:dyDescent="0.3">
      <c r="A78" s="113" t="s">
        <v>1693</v>
      </c>
      <c r="B78" s="113"/>
      <c r="C78" s="110"/>
      <c r="D78" s="110"/>
      <c r="E78" s="110"/>
      <c r="F78" s="111"/>
      <c r="G78" s="111"/>
      <c r="H78" s="111"/>
      <c r="I78" s="111"/>
      <c r="J78" s="111"/>
      <c r="K78" s="111"/>
      <c r="L78" s="111"/>
      <c r="M78" s="111"/>
      <c r="N78" s="111"/>
      <c r="O78" s="111"/>
      <c r="P78" s="111"/>
      <c r="R78" s="111"/>
      <c r="S78" s="111"/>
      <c r="T78" s="111"/>
      <c r="U78" s="85"/>
    </row>
    <row r="79" spans="1:21" ht="20.25" x14ac:dyDescent="0.3">
      <c r="A79" s="112" t="s">
        <v>1691</v>
      </c>
      <c r="B79" s="112"/>
      <c r="C79" s="110"/>
      <c r="D79" s="110"/>
      <c r="E79" s="110"/>
      <c r="F79" s="111"/>
      <c r="G79" s="111"/>
      <c r="H79" s="111"/>
      <c r="I79" s="111"/>
      <c r="J79" s="111"/>
      <c r="K79" s="111"/>
      <c r="L79" s="111"/>
      <c r="M79" s="111"/>
      <c r="N79" s="111"/>
      <c r="O79" s="111"/>
      <c r="P79" s="111"/>
      <c r="R79" s="111"/>
      <c r="S79" s="111"/>
      <c r="T79" s="111"/>
      <c r="U79" s="85"/>
    </row>
    <row r="80" spans="1:21" ht="20.25" x14ac:dyDescent="0.3">
      <c r="A80" s="1523" t="s">
        <v>2249</v>
      </c>
    </row>
    <row r="81" spans="1:21" ht="20.25" x14ac:dyDescent="0.3">
      <c r="A81" s="112" t="s">
        <v>3191</v>
      </c>
      <c r="B81" s="85"/>
      <c r="C81" s="110"/>
      <c r="D81" s="110"/>
      <c r="E81" s="110"/>
      <c r="F81" s="111"/>
      <c r="G81" s="111"/>
      <c r="H81" s="111"/>
      <c r="I81" s="111"/>
      <c r="J81" s="111"/>
      <c r="K81" s="111"/>
      <c r="L81" s="111"/>
      <c r="M81" s="111"/>
      <c r="N81" s="111"/>
      <c r="O81" s="111"/>
      <c r="P81" s="111"/>
      <c r="Q81" s="111"/>
      <c r="R81" s="111"/>
      <c r="S81" s="111"/>
      <c r="T81" s="111"/>
      <c r="U81" s="85"/>
    </row>
    <row r="82" spans="1:21" ht="20.25" x14ac:dyDescent="0.3">
      <c r="A82" s="85" t="s">
        <v>2259</v>
      </c>
      <c r="B82" s="116"/>
      <c r="C82" s="85"/>
      <c r="D82" s="85"/>
      <c r="E82" s="85"/>
      <c r="F82" s="85"/>
      <c r="K82" s="85"/>
      <c r="L82" s="85"/>
      <c r="M82" s="1037"/>
      <c r="N82" s="85"/>
      <c r="O82" s="1037"/>
      <c r="P82" s="85"/>
      <c r="Q82" s="85"/>
      <c r="R82" s="85"/>
      <c r="S82" s="85"/>
    </row>
    <row r="83" spans="1:21" ht="20.25" x14ac:dyDescent="0.3">
      <c r="C83" s="85"/>
      <c r="D83" s="85"/>
      <c r="E83" s="85"/>
      <c r="F83" s="85"/>
      <c r="K83" s="115"/>
      <c r="L83" s="115"/>
      <c r="M83" s="1046"/>
      <c r="N83" s="115"/>
      <c r="O83" s="1046"/>
      <c r="P83" s="92"/>
      <c r="Q83" s="92"/>
      <c r="R83" s="92"/>
      <c r="S83" s="92"/>
      <c r="T83" s="92"/>
      <c r="U83" s="92"/>
    </row>
    <row r="84" spans="1:21" ht="20.25" x14ac:dyDescent="0.3">
      <c r="C84" s="85"/>
      <c r="D84" s="85"/>
      <c r="E84" s="85"/>
      <c r="F84" s="85"/>
      <c r="G84" s="85"/>
      <c r="H84" s="85"/>
      <c r="I84" s="85"/>
      <c r="J84" s="85"/>
      <c r="K84" s="115"/>
      <c r="L84" s="115"/>
      <c r="M84" s="1046"/>
      <c r="N84" s="115"/>
      <c r="O84" s="1046"/>
      <c r="P84" s="92"/>
      <c r="Q84" s="92"/>
      <c r="R84" s="92"/>
      <c r="S84" s="92"/>
      <c r="T84" s="92"/>
      <c r="U84" s="92"/>
    </row>
    <row r="85" spans="1:21" ht="20.25" x14ac:dyDescent="0.3">
      <c r="C85" s="85"/>
      <c r="D85" s="85"/>
      <c r="E85" s="85"/>
      <c r="F85" s="85"/>
      <c r="G85" s="85"/>
      <c r="H85" s="85"/>
      <c r="I85" s="85"/>
      <c r="J85" s="85"/>
      <c r="K85" s="114"/>
      <c r="L85" s="114"/>
      <c r="M85" s="1047"/>
      <c r="N85" s="114"/>
      <c r="O85" s="1047"/>
      <c r="P85" s="92"/>
      <c r="Q85" s="92"/>
      <c r="R85" s="92"/>
      <c r="S85" s="92"/>
      <c r="T85" s="92"/>
      <c r="U85" s="92"/>
    </row>
    <row r="86" spans="1:21" ht="20.25" x14ac:dyDescent="0.3">
      <c r="C86" s="116"/>
      <c r="D86" s="116"/>
      <c r="E86" s="116"/>
      <c r="F86" s="116"/>
      <c r="G86" s="116"/>
      <c r="H86" s="116"/>
      <c r="I86" s="116"/>
      <c r="J86" s="116"/>
      <c r="K86" s="85"/>
      <c r="L86" s="85"/>
      <c r="M86" s="1037"/>
      <c r="N86" s="85"/>
      <c r="O86" s="1037"/>
      <c r="P86" s="92"/>
      <c r="Q86" s="92"/>
      <c r="R86" s="92"/>
      <c r="S86" s="92"/>
      <c r="T86" s="92"/>
      <c r="U86" s="92"/>
    </row>
    <row r="87" spans="1:21" ht="65.25" customHeight="1" x14ac:dyDescent="0.3">
      <c r="A87" s="2953" t="s">
        <v>66</v>
      </c>
      <c r="B87" s="2954"/>
      <c r="C87" s="2957" t="s">
        <v>224</v>
      </c>
      <c r="D87" s="2958"/>
      <c r="E87" s="2959"/>
      <c r="F87" s="2957" t="s">
        <v>2106</v>
      </c>
      <c r="G87" s="2958"/>
      <c r="H87" s="2958"/>
      <c r="I87" s="2958"/>
      <c r="J87" s="2959"/>
      <c r="K87" s="2960" t="s">
        <v>212</v>
      </c>
      <c r="L87" s="2961"/>
      <c r="M87" s="2961"/>
      <c r="N87" s="2962"/>
      <c r="O87" s="2357" t="s">
        <v>1627</v>
      </c>
      <c r="P87" s="85"/>
      <c r="Q87" s="85"/>
      <c r="R87" s="85"/>
      <c r="S87" s="85"/>
      <c r="T87" s="85"/>
      <c r="U87" s="85"/>
    </row>
    <row r="88" spans="1:21" ht="38.25" customHeight="1" x14ac:dyDescent="0.3">
      <c r="A88" s="2955"/>
      <c r="B88" s="2956"/>
      <c r="C88" s="2963">
        <v>0</v>
      </c>
      <c r="D88" s="2964"/>
      <c r="E88" s="2965"/>
      <c r="F88" s="2949">
        <v>0</v>
      </c>
      <c r="G88" s="2950"/>
      <c r="H88" s="2950"/>
      <c r="I88" s="2950"/>
      <c r="J88" s="2951"/>
      <c r="K88" s="2949">
        <v>0</v>
      </c>
      <c r="L88" s="2950"/>
      <c r="M88" s="2950"/>
      <c r="N88" s="2951"/>
      <c r="O88" s="2347">
        <v>0</v>
      </c>
      <c r="P88" s="85"/>
      <c r="Q88" s="85"/>
      <c r="R88" s="85"/>
      <c r="S88" s="85"/>
      <c r="T88" s="85"/>
      <c r="U88" s="85"/>
    </row>
    <row r="89" spans="1:21" ht="20.25" x14ac:dyDescent="0.2">
      <c r="K89" s="116"/>
      <c r="L89" s="116"/>
      <c r="M89" s="1048"/>
      <c r="N89" s="116"/>
      <c r="O89" s="1048"/>
      <c r="P89" s="116"/>
      <c r="Q89" s="116"/>
      <c r="R89" s="116"/>
      <c r="S89" s="116"/>
      <c r="T89" s="116"/>
      <c r="U89" s="116"/>
    </row>
    <row r="90" spans="1:21" ht="20.25" x14ac:dyDescent="0.2">
      <c r="K90" s="116"/>
      <c r="L90" s="116"/>
      <c r="M90" s="1048"/>
      <c r="N90" s="116"/>
      <c r="O90" s="1048"/>
      <c r="P90" s="116"/>
      <c r="Q90" s="116"/>
      <c r="R90" s="116"/>
      <c r="S90" s="116"/>
      <c r="T90" s="116"/>
      <c r="U90" s="116"/>
    </row>
    <row r="91" spans="1:21" ht="20.25" x14ac:dyDescent="0.2">
      <c r="A91" s="116"/>
      <c r="B91" s="116"/>
      <c r="C91" s="116"/>
      <c r="D91" s="116"/>
      <c r="E91" s="116"/>
      <c r="F91" s="116"/>
      <c r="G91" s="116"/>
      <c r="H91" s="116"/>
      <c r="I91" s="116"/>
      <c r="J91" s="116"/>
      <c r="K91" s="116"/>
      <c r="L91" s="116"/>
      <c r="M91" s="1048"/>
      <c r="N91" s="116"/>
      <c r="O91" s="1048"/>
      <c r="P91" s="116"/>
      <c r="Q91" s="116"/>
      <c r="R91" s="116"/>
      <c r="S91" s="116"/>
      <c r="T91" s="116"/>
      <c r="U91" s="116"/>
    </row>
    <row r="92" spans="1:21" ht="20.25" x14ac:dyDescent="0.3">
      <c r="A92" s="85"/>
      <c r="B92" s="85"/>
      <c r="C92" s="85"/>
      <c r="D92" s="85"/>
      <c r="E92" s="85"/>
      <c r="F92" s="85"/>
      <c r="G92" s="85"/>
      <c r="H92" s="85"/>
      <c r="I92" s="85"/>
      <c r="J92" s="85"/>
      <c r="K92" s="85"/>
      <c r="L92" s="85"/>
      <c r="M92" s="1037"/>
      <c r="N92" s="85"/>
      <c r="O92" s="1037"/>
      <c r="P92" s="85"/>
      <c r="Q92" s="85"/>
      <c r="R92" s="85"/>
      <c r="S92" s="85"/>
      <c r="T92" s="85"/>
      <c r="U92" s="85"/>
    </row>
    <row r="93" spans="1:21" ht="63" customHeight="1" x14ac:dyDescent="0.2">
      <c r="Q93" s="117"/>
      <c r="R93" s="118"/>
      <c r="S93" s="118"/>
      <c r="T93" s="118"/>
      <c r="U93" s="117"/>
    </row>
    <row r="94" spans="1:21" ht="44.25" customHeight="1" x14ac:dyDescent="0.2">
      <c r="Q94" s="119"/>
      <c r="R94" s="119"/>
      <c r="S94" s="119"/>
      <c r="T94" s="119"/>
      <c r="U94" s="119"/>
    </row>
    <row r="95" spans="1:21" ht="20.25" x14ac:dyDescent="0.3">
      <c r="A95" s="85"/>
      <c r="B95" s="85"/>
      <c r="C95" s="85"/>
      <c r="D95" s="85"/>
      <c r="E95" s="85"/>
      <c r="F95" s="85"/>
      <c r="G95" s="85"/>
      <c r="H95" s="85"/>
      <c r="I95" s="85"/>
      <c r="J95" s="85"/>
      <c r="K95" s="85"/>
      <c r="L95" s="85"/>
      <c r="M95" s="1037"/>
      <c r="N95" s="85"/>
      <c r="O95" s="1037"/>
      <c r="P95" s="85"/>
      <c r="Q95" s="85"/>
      <c r="R95" s="85"/>
      <c r="S95" s="85"/>
      <c r="T95" s="85"/>
      <c r="U95" s="85"/>
    </row>
  </sheetData>
  <sheetProtection formatCells="0" formatColumns="0" formatRows="0"/>
  <protectedRanges>
    <protectedRange password="CF74" sqref="A70:B75 J70:J71 F70 Q70:T76 L70:O71 P70:P75 C70:E76 G70:G71 F72:H76 I70:I72 I73:O76 J72:O72" name="Диапазон2_1"/>
  </protectedRanges>
  <mergeCells count="234">
    <mergeCell ref="K88:N88"/>
    <mergeCell ref="Q75:T75"/>
    <mergeCell ref="A87:B88"/>
    <mergeCell ref="C87:E87"/>
    <mergeCell ref="F87:J87"/>
    <mergeCell ref="K87:N87"/>
    <mergeCell ref="C88:E88"/>
    <mergeCell ref="F88:J88"/>
    <mergeCell ref="A69:T69"/>
    <mergeCell ref="A70:B71"/>
    <mergeCell ref="C70:C71"/>
    <mergeCell ref="D70:D71"/>
    <mergeCell ref="A72:T72"/>
    <mergeCell ref="A73:B75"/>
    <mergeCell ref="C73:C75"/>
    <mergeCell ref="Q73:T73"/>
    <mergeCell ref="Q74:T74"/>
    <mergeCell ref="D74:E74"/>
    <mergeCell ref="D67:E67"/>
    <mergeCell ref="K67:L67"/>
    <mergeCell ref="Q67:R67"/>
    <mergeCell ref="S67:T67"/>
    <mergeCell ref="D68:E68"/>
    <mergeCell ref="K68:L68"/>
    <mergeCell ref="Q68:R68"/>
    <mergeCell ref="S68:T68"/>
    <mergeCell ref="D64:E64"/>
    <mergeCell ref="K64:L64"/>
    <mergeCell ref="Q64:R64"/>
    <mergeCell ref="S64:T64"/>
    <mergeCell ref="A65:T65"/>
    <mergeCell ref="D66:E66"/>
    <mergeCell ref="K66:L66"/>
    <mergeCell ref="Q66:R66"/>
    <mergeCell ref="S66:T66"/>
    <mergeCell ref="D62:E62"/>
    <mergeCell ref="K62:L62"/>
    <mergeCell ref="Q62:R62"/>
    <mergeCell ref="S62:T62"/>
    <mergeCell ref="D63:E63"/>
    <mergeCell ref="K63:L63"/>
    <mergeCell ref="Q63:R63"/>
    <mergeCell ref="S63:T63"/>
    <mergeCell ref="A59:T59"/>
    <mergeCell ref="D60:E60"/>
    <mergeCell ref="K60:L60"/>
    <mergeCell ref="Q60:R60"/>
    <mergeCell ref="S60:T60"/>
    <mergeCell ref="D61:E61"/>
    <mergeCell ref="K61:L61"/>
    <mergeCell ref="Q61:R61"/>
    <mergeCell ref="S61:T61"/>
    <mergeCell ref="D57:E57"/>
    <mergeCell ref="K57:L57"/>
    <mergeCell ref="Q57:R57"/>
    <mergeCell ref="S57:T57"/>
    <mergeCell ref="D58:E58"/>
    <mergeCell ref="K58:L58"/>
    <mergeCell ref="Q58:R58"/>
    <mergeCell ref="S58:T58"/>
    <mergeCell ref="D55:E55"/>
    <mergeCell ref="K55:L55"/>
    <mergeCell ref="Q55:R55"/>
    <mergeCell ref="S55:T55"/>
    <mergeCell ref="D56:E56"/>
    <mergeCell ref="K56:L56"/>
    <mergeCell ref="Q56:R56"/>
    <mergeCell ref="S56:T56"/>
    <mergeCell ref="D53:E53"/>
    <mergeCell ref="K53:L53"/>
    <mergeCell ref="Q53:R53"/>
    <mergeCell ref="S53:T53"/>
    <mergeCell ref="D54:E54"/>
    <mergeCell ref="K54:L54"/>
    <mergeCell ref="Q54:R54"/>
    <mergeCell ref="S54:T54"/>
    <mergeCell ref="A50:T50"/>
    <mergeCell ref="D51:E51"/>
    <mergeCell ref="K51:L51"/>
    <mergeCell ref="Q51:R51"/>
    <mergeCell ref="S51:T51"/>
    <mergeCell ref="D52:E52"/>
    <mergeCell ref="K52:L52"/>
    <mergeCell ref="Q52:R52"/>
    <mergeCell ref="S52:T52"/>
    <mergeCell ref="D48:E48"/>
    <mergeCell ref="K48:L48"/>
    <mergeCell ref="Q48:R48"/>
    <mergeCell ref="S48:T48"/>
    <mergeCell ref="D49:E49"/>
    <mergeCell ref="K49:L49"/>
    <mergeCell ref="Q49:R49"/>
    <mergeCell ref="S49:T49"/>
    <mergeCell ref="D46:E46"/>
    <mergeCell ref="K46:L46"/>
    <mergeCell ref="Q46:R46"/>
    <mergeCell ref="S46:T46"/>
    <mergeCell ref="D47:E47"/>
    <mergeCell ref="K47:L47"/>
    <mergeCell ref="Q47:R47"/>
    <mergeCell ref="S47:T47"/>
    <mergeCell ref="D43:E43"/>
    <mergeCell ref="K43:L43"/>
    <mergeCell ref="Q43:R43"/>
    <mergeCell ref="S43:T43"/>
    <mergeCell ref="A44:T44"/>
    <mergeCell ref="D45:E45"/>
    <mergeCell ref="K45:L45"/>
    <mergeCell ref="Q45:R45"/>
    <mergeCell ref="S45:T45"/>
    <mergeCell ref="D41:E41"/>
    <mergeCell ref="K41:L41"/>
    <mergeCell ref="Q41:R41"/>
    <mergeCell ref="S41:T41"/>
    <mergeCell ref="D42:E42"/>
    <mergeCell ref="K42:L42"/>
    <mergeCell ref="Q42:R42"/>
    <mergeCell ref="S42:T42"/>
    <mergeCell ref="D39:E39"/>
    <mergeCell ref="K39:L39"/>
    <mergeCell ref="Q39:R39"/>
    <mergeCell ref="S39:T39"/>
    <mergeCell ref="D40:E40"/>
    <mergeCell ref="K40:L40"/>
    <mergeCell ref="Q40:R40"/>
    <mergeCell ref="S40:T40"/>
    <mergeCell ref="D37:E37"/>
    <mergeCell ref="K37:L37"/>
    <mergeCell ref="Q37:R37"/>
    <mergeCell ref="S37:T37"/>
    <mergeCell ref="D38:E38"/>
    <mergeCell ref="K38:L38"/>
    <mergeCell ref="Q38:R38"/>
    <mergeCell ref="S38:T38"/>
    <mergeCell ref="D35:E35"/>
    <mergeCell ref="K35:L35"/>
    <mergeCell ref="Q35:R35"/>
    <mergeCell ref="S35:T35"/>
    <mergeCell ref="D36:E36"/>
    <mergeCell ref="K36:L36"/>
    <mergeCell ref="Q36:R36"/>
    <mergeCell ref="S36:T36"/>
    <mergeCell ref="D33:E33"/>
    <mergeCell ref="K33:L33"/>
    <mergeCell ref="Q33:R33"/>
    <mergeCell ref="S33:T33"/>
    <mergeCell ref="D34:E34"/>
    <mergeCell ref="K34:L34"/>
    <mergeCell ref="Q34:R34"/>
    <mergeCell ref="S34:T34"/>
    <mergeCell ref="D31:E31"/>
    <mergeCell ref="K31:L31"/>
    <mergeCell ref="Q31:R31"/>
    <mergeCell ref="S31:T31"/>
    <mergeCell ref="D32:E32"/>
    <mergeCell ref="K32:L32"/>
    <mergeCell ref="Q32:R32"/>
    <mergeCell ref="S32:T32"/>
    <mergeCell ref="D29:E29"/>
    <mergeCell ref="K29:L29"/>
    <mergeCell ref="Q29:R29"/>
    <mergeCell ref="S29:T29"/>
    <mergeCell ref="D30:E30"/>
    <mergeCell ref="K30:L30"/>
    <mergeCell ref="Q30:R30"/>
    <mergeCell ref="S30:T30"/>
    <mergeCell ref="D27:E27"/>
    <mergeCell ref="K27:L27"/>
    <mergeCell ref="Q27:R27"/>
    <mergeCell ref="S27:T27"/>
    <mergeCell ref="D28:E28"/>
    <mergeCell ref="K28:L28"/>
    <mergeCell ref="Q28:R28"/>
    <mergeCell ref="S28:T28"/>
    <mergeCell ref="D25:E25"/>
    <mergeCell ref="K25:L25"/>
    <mergeCell ref="Q25:R25"/>
    <mergeCell ref="S25:T25"/>
    <mergeCell ref="D26:E26"/>
    <mergeCell ref="K26:L26"/>
    <mergeCell ref="Q26:R26"/>
    <mergeCell ref="S26:T26"/>
    <mergeCell ref="D23:E23"/>
    <mergeCell ref="K23:L23"/>
    <mergeCell ref="Q23:R23"/>
    <mergeCell ref="S23:T23"/>
    <mergeCell ref="D24:E24"/>
    <mergeCell ref="K24:L24"/>
    <mergeCell ref="Q24:R24"/>
    <mergeCell ref="S24:T24"/>
    <mergeCell ref="D21:E21"/>
    <mergeCell ref="K21:L21"/>
    <mergeCell ref="Q21:R21"/>
    <mergeCell ref="S21:T21"/>
    <mergeCell ref="D22:E22"/>
    <mergeCell ref="K22:L22"/>
    <mergeCell ref="Q22:R22"/>
    <mergeCell ref="S22:T22"/>
    <mergeCell ref="D19:E19"/>
    <mergeCell ref="K19:L19"/>
    <mergeCell ref="Q19:R19"/>
    <mergeCell ref="S19:T19"/>
    <mergeCell ref="D20:E20"/>
    <mergeCell ref="K20:L20"/>
    <mergeCell ref="Q20:R20"/>
    <mergeCell ref="S20:T20"/>
    <mergeCell ref="D17:E17"/>
    <mergeCell ref="K17:L17"/>
    <mergeCell ref="Q17:R17"/>
    <mergeCell ref="S17:T17"/>
    <mergeCell ref="D18:E18"/>
    <mergeCell ref="K18:L18"/>
    <mergeCell ref="Q18:R18"/>
    <mergeCell ref="S18:T18"/>
    <mergeCell ref="D16:E16"/>
    <mergeCell ref="K16:L16"/>
    <mergeCell ref="Q16:R16"/>
    <mergeCell ref="S16:T16"/>
    <mergeCell ref="S14:T14"/>
    <mergeCell ref="A15:T15"/>
    <mergeCell ref="A1:T9"/>
    <mergeCell ref="A10:T10"/>
    <mergeCell ref="S11:T11"/>
    <mergeCell ref="A12:A14"/>
    <mergeCell ref="B12:B14"/>
    <mergeCell ref="C12:C14"/>
    <mergeCell ref="D12:E14"/>
    <mergeCell ref="F12:T12"/>
    <mergeCell ref="K14:L14"/>
    <mergeCell ref="Q14:R14"/>
    <mergeCell ref="G13:I13"/>
    <mergeCell ref="J13:O13"/>
    <mergeCell ref="P13:T13"/>
    <mergeCell ref="F13:F14"/>
  </mergeCells>
  <printOptions horizontalCentered="1"/>
  <pageMargins left="0.19685039370078741" right="0" top="0" bottom="0" header="0" footer="0"/>
  <pageSetup paperSize="9" scale="31" orientation="landscape" r:id="rId1"/>
  <headerFooter alignWithMargins="0">
    <oddFooter>&amp;R&amp;24Стр. &amp;P из  &amp;N
&amp;A</oddFooter>
  </headerFooter>
  <ignoredErrors>
    <ignoredError sqref="I54" formula="1"/>
  </ignoredError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99"/>
  <sheetViews>
    <sheetView zoomScale="50" zoomScaleNormal="50" zoomScaleSheetLayoutView="40" workbookViewId="0">
      <selection sqref="A1:P10"/>
    </sheetView>
  </sheetViews>
  <sheetFormatPr defaultRowHeight="12.75" x14ac:dyDescent="0.2"/>
  <cols>
    <col min="1" max="1" width="88.42578125" style="82" customWidth="1"/>
    <col min="2" max="2" width="19.42578125" style="82" customWidth="1"/>
    <col min="3" max="3" width="16.85546875" style="82" customWidth="1"/>
    <col min="4" max="4" width="24.140625" style="82" customWidth="1"/>
    <col min="5" max="5" width="25.28515625" style="82" customWidth="1"/>
    <col min="6" max="6" width="25.7109375" style="82" customWidth="1"/>
    <col min="7" max="7" width="26" style="82" customWidth="1"/>
    <col min="8" max="8" width="25.42578125" style="82" customWidth="1"/>
    <col min="9" max="9" width="26.5703125" style="82" customWidth="1"/>
    <col min="10" max="10" width="25.42578125" style="82" customWidth="1"/>
    <col min="11" max="11" width="25.7109375" style="82" customWidth="1"/>
    <col min="12" max="12" width="25.42578125" style="82" customWidth="1"/>
    <col min="13" max="13" width="26.42578125" style="82" customWidth="1"/>
    <col min="14" max="14" width="25.5703125" style="82" customWidth="1"/>
    <col min="15" max="15" width="25.7109375" style="82" customWidth="1"/>
    <col min="16" max="16" width="27.7109375" style="82" customWidth="1"/>
    <col min="17" max="16384" width="9.140625" style="82"/>
  </cols>
  <sheetData>
    <row r="1" spans="1:17" x14ac:dyDescent="0.2">
      <c r="A1" s="2987"/>
      <c r="B1" s="2987"/>
      <c r="C1" s="2987"/>
      <c r="D1" s="2987"/>
      <c r="E1" s="2987"/>
      <c r="F1" s="2987"/>
      <c r="G1" s="2987"/>
      <c r="H1" s="2987"/>
      <c r="I1" s="2987"/>
      <c r="J1" s="2987"/>
      <c r="K1" s="2987"/>
      <c r="L1" s="2987"/>
      <c r="M1" s="2987"/>
      <c r="N1" s="2987"/>
      <c r="O1" s="2987"/>
      <c r="P1" s="2987"/>
    </row>
    <row r="2" spans="1:17" x14ac:dyDescent="0.2">
      <c r="A2" s="2987"/>
      <c r="B2" s="2987"/>
      <c r="C2" s="2987"/>
      <c r="D2" s="2987"/>
      <c r="E2" s="2987"/>
      <c r="F2" s="2987"/>
      <c r="G2" s="2987"/>
      <c r="H2" s="2987"/>
      <c r="I2" s="2987"/>
      <c r="J2" s="2987"/>
      <c r="K2" s="2987"/>
      <c r="L2" s="2987"/>
      <c r="M2" s="2987"/>
      <c r="N2" s="2987"/>
      <c r="O2" s="2987"/>
      <c r="P2" s="2987"/>
    </row>
    <row r="3" spans="1:17" x14ac:dyDescent="0.2">
      <c r="A3" s="2987"/>
      <c r="B3" s="2987"/>
      <c r="C3" s="2987"/>
      <c r="D3" s="2987"/>
      <c r="E3" s="2987"/>
      <c r="F3" s="2987"/>
      <c r="G3" s="2987"/>
      <c r="H3" s="2987"/>
      <c r="I3" s="2987"/>
      <c r="J3" s="2987"/>
      <c r="K3" s="2987"/>
      <c r="L3" s="2987"/>
      <c r="M3" s="2987"/>
      <c r="N3" s="2987"/>
      <c r="O3" s="2987"/>
      <c r="P3" s="2987"/>
    </row>
    <row r="4" spans="1:17" x14ac:dyDescent="0.2">
      <c r="A4" s="2987"/>
      <c r="B4" s="2987"/>
      <c r="C4" s="2987"/>
      <c r="D4" s="2987"/>
      <c r="E4" s="2987"/>
      <c r="F4" s="2987"/>
      <c r="G4" s="2987"/>
      <c r="H4" s="2987"/>
      <c r="I4" s="2987"/>
      <c r="J4" s="2987"/>
      <c r="K4" s="2987"/>
      <c r="L4" s="2987"/>
      <c r="M4" s="2987"/>
      <c r="N4" s="2987"/>
      <c r="O4" s="2987"/>
      <c r="P4" s="2987"/>
    </row>
    <row r="5" spans="1:17" x14ac:dyDescent="0.2">
      <c r="A5" s="2987"/>
      <c r="B5" s="2987"/>
      <c r="C5" s="2987"/>
      <c r="D5" s="2987"/>
      <c r="E5" s="2987"/>
      <c r="F5" s="2987"/>
      <c r="G5" s="2987"/>
      <c r="H5" s="2987"/>
      <c r="I5" s="2987"/>
      <c r="J5" s="2987"/>
      <c r="K5" s="2987"/>
      <c r="L5" s="2987"/>
      <c r="M5" s="2987"/>
      <c r="N5" s="2987"/>
      <c r="O5" s="2987"/>
      <c r="P5" s="2987"/>
    </row>
    <row r="6" spans="1:17" x14ac:dyDescent="0.2">
      <c r="A6" s="2987"/>
      <c r="B6" s="2987"/>
      <c r="C6" s="2987"/>
      <c r="D6" s="2987"/>
      <c r="E6" s="2987"/>
      <c r="F6" s="2987"/>
      <c r="G6" s="2987"/>
      <c r="H6" s="2987"/>
      <c r="I6" s="2987"/>
      <c r="J6" s="2987"/>
      <c r="K6" s="2987"/>
      <c r="L6" s="2987"/>
      <c r="M6" s="2987"/>
      <c r="N6" s="2987"/>
      <c r="O6" s="2987"/>
      <c r="P6" s="2987"/>
    </row>
    <row r="7" spans="1:17" x14ac:dyDescent="0.2">
      <c r="A7" s="2987"/>
      <c r="B7" s="2987"/>
      <c r="C7" s="2987"/>
      <c r="D7" s="2987"/>
      <c r="E7" s="2987"/>
      <c r="F7" s="2987"/>
      <c r="G7" s="2987"/>
      <c r="H7" s="2987"/>
      <c r="I7" s="2987"/>
      <c r="J7" s="2987"/>
      <c r="K7" s="2987"/>
      <c r="L7" s="2987"/>
      <c r="M7" s="2987"/>
      <c r="N7" s="2987"/>
      <c r="O7" s="2987"/>
      <c r="P7" s="2987"/>
    </row>
    <row r="8" spans="1:17" x14ac:dyDescent="0.2">
      <c r="A8" s="2987"/>
      <c r="B8" s="2987"/>
      <c r="C8" s="2987"/>
      <c r="D8" s="2987"/>
      <c r="E8" s="2987"/>
      <c r="F8" s="2987"/>
      <c r="G8" s="2987"/>
      <c r="H8" s="2987"/>
      <c r="I8" s="2987"/>
      <c r="J8" s="2987"/>
      <c r="K8" s="2987"/>
      <c r="L8" s="2987"/>
      <c r="M8" s="2987"/>
      <c r="N8" s="2987"/>
      <c r="O8" s="2987"/>
      <c r="P8" s="2987"/>
    </row>
    <row r="9" spans="1:17" x14ac:dyDescent="0.2">
      <c r="A9" s="2987"/>
      <c r="B9" s="2987"/>
      <c r="C9" s="2987"/>
      <c r="D9" s="2987"/>
      <c r="E9" s="2987"/>
      <c r="F9" s="2987"/>
      <c r="G9" s="2987"/>
      <c r="H9" s="2987"/>
      <c r="I9" s="2987"/>
      <c r="J9" s="2987"/>
      <c r="K9" s="2987"/>
      <c r="L9" s="2987"/>
      <c r="M9" s="2987"/>
      <c r="N9" s="2987"/>
      <c r="O9" s="2987"/>
      <c r="P9" s="2987"/>
    </row>
    <row r="10" spans="1:17" ht="18" customHeight="1" thickBot="1" x14ac:dyDescent="0.25">
      <c r="A10" s="2988"/>
      <c r="B10" s="2988"/>
      <c r="C10" s="2988"/>
      <c r="D10" s="2988"/>
      <c r="E10" s="2988"/>
      <c r="F10" s="2988"/>
      <c r="G10" s="2988"/>
      <c r="H10" s="2988"/>
      <c r="I10" s="2988"/>
      <c r="J10" s="2988"/>
      <c r="K10" s="2988"/>
      <c r="L10" s="2988"/>
      <c r="M10" s="2988"/>
      <c r="N10" s="2988"/>
      <c r="O10" s="2988"/>
      <c r="P10" s="2988"/>
    </row>
    <row r="11" spans="1:17" s="83" customFormat="1" ht="29.25" customHeight="1" x14ac:dyDescent="0.5">
      <c r="C11" s="1345"/>
      <c r="D11" s="1345"/>
      <c r="E11" s="1346" t="s">
        <v>225</v>
      </c>
      <c r="F11" s="1345"/>
      <c r="G11" s="1345"/>
      <c r="H11" s="1345"/>
      <c r="I11" s="1345"/>
      <c r="J11" s="1345"/>
      <c r="K11" s="1345"/>
      <c r="L11" s="1345"/>
      <c r="M11" s="1345"/>
      <c r="N11" s="1345"/>
      <c r="O11" s="1345"/>
      <c r="P11" s="1345"/>
      <c r="Q11" s="85"/>
    </row>
    <row r="12" spans="1:17" s="83" customFormat="1" ht="20.25" customHeight="1" x14ac:dyDescent="0.35">
      <c r="A12" s="1347"/>
      <c r="B12" s="1348"/>
      <c r="C12" s="92"/>
      <c r="D12" s="92"/>
      <c r="E12" s="92"/>
      <c r="F12" s="92"/>
      <c r="G12" s="92"/>
      <c r="H12" s="92"/>
      <c r="I12" s="92"/>
      <c r="J12" s="1349"/>
      <c r="K12" s="1349"/>
      <c r="L12" s="1349"/>
      <c r="M12" s="1349"/>
      <c r="N12" s="2068" t="s">
        <v>1</v>
      </c>
      <c r="P12" s="2067">
        <v>42119</v>
      </c>
      <c r="Q12" s="1049"/>
    </row>
    <row r="13" spans="1:17" s="91" customFormat="1" ht="20.25" customHeight="1" x14ac:dyDescent="0.3">
      <c r="A13" s="2864" t="s">
        <v>159</v>
      </c>
      <c r="B13" s="2867" t="s">
        <v>2103</v>
      </c>
      <c r="C13" s="2867" t="s">
        <v>104</v>
      </c>
      <c r="D13" s="2864" t="s">
        <v>160</v>
      </c>
      <c r="E13" s="2989" t="s">
        <v>161</v>
      </c>
      <c r="F13" s="2990"/>
      <c r="G13" s="2990"/>
      <c r="H13" s="2990"/>
      <c r="I13" s="2990"/>
      <c r="J13" s="2990"/>
      <c r="K13" s="2990"/>
      <c r="L13" s="2990"/>
      <c r="M13" s="2990"/>
      <c r="N13" s="2990"/>
      <c r="O13" s="2990"/>
      <c r="P13" s="2991"/>
      <c r="Q13" s="90"/>
    </row>
    <row r="14" spans="1:17" s="91" customFormat="1" ht="20.25" customHeight="1" x14ac:dyDescent="0.3">
      <c r="A14" s="2865"/>
      <c r="B14" s="2868"/>
      <c r="C14" s="2868"/>
      <c r="D14" s="2865"/>
      <c r="E14" s="2999" t="s">
        <v>71</v>
      </c>
      <c r="F14" s="2990"/>
      <c r="G14" s="2990"/>
      <c r="H14" s="2990"/>
      <c r="I14" s="2990"/>
      <c r="J14" s="2990"/>
      <c r="K14" s="2990"/>
      <c r="L14" s="2990"/>
      <c r="M14" s="2990"/>
      <c r="N14" s="2990"/>
      <c r="O14" s="2990"/>
      <c r="P14" s="2991"/>
      <c r="Q14" s="90"/>
    </row>
    <row r="15" spans="1:17" s="91" customFormat="1" ht="24.75" customHeight="1" x14ac:dyDescent="0.25">
      <c r="A15" s="2866"/>
      <c r="B15" s="2869"/>
      <c r="C15" s="2869"/>
      <c r="D15" s="2866"/>
      <c r="E15" s="2999"/>
      <c r="F15" s="2343" t="s">
        <v>2925</v>
      </c>
      <c r="G15" s="2097" t="s">
        <v>2348</v>
      </c>
      <c r="H15" s="2344" t="s">
        <v>3418</v>
      </c>
      <c r="I15" s="2094" t="s">
        <v>1769</v>
      </c>
      <c r="J15" s="2097" t="s">
        <v>164</v>
      </c>
      <c r="K15" s="2098" t="s">
        <v>166</v>
      </c>
      <c r="L15" s="2099" t="s">
        <v>1906</v>
      </c>
      <c r="M15" s="2099" t="s">
        <v>2104</v>
      </c>
      <c r="N15" s="2097" t="s">
        <v>165</v>
      </c>
      <c r="O15" s="2097" t="s">
        <v>2927</v>
      </c>
      <c r="P15" s="2097" t="s">
        <v>3212</v>
      </c>
    </row>
    <row r="16" spans="1:17" s="94" customFormat="1" ht="24.75" customHeight="1" x14ac:dyDescent="0.3">
      <c r="A16" s="2992" t="s">
        <v>226</v>
      </c>
      <c r="B16" s="2993"/>
      <c r="C16" s="2993"/>
      <c r="D16" s="2993"/>
      <c r="E16" s="2993"/>
      <c r="F16" s="2993"/>
      <c r="G16" s="2993"/>
      <c r="H16" s="2993"/>
      <c r="I16" s="2993"/>
      <c r="J16" s="2993"/>
      <c r="K16" s="2993"/>
      <c r="L16" s="2993"/>
      <c r="M16" s="2993"/>
      <c r="N16" s="2993"/>
      <c r="O16" s="2993"/>
      <c r="P16" s="2994"/>
    </row>
    <row r="17" spans="1:16" s="1354" customFormat="1" ht="24.75" customHeight="1" x14ac:dyDescent="0.3">
      <c r="A17" s="1350" t="s">
        <v>227</v>
      </c>
      <c r="B17" s="1351">
        <v>108</v>
      </c>
      <c r="C17" s="1352" t="s">
        <v>169</v>
      </c>
      <c r="D17" s="1352" t="s">
        <v>170</v>
      </c>
      <c r="E17" s="1353">
        <f>ROUND(93*(1-D86),2)</f>
        <v>93</v>
      </c>
      <c r="F17" s="1353">
        <f>ROUND(109*(1-D86),2)</f>
        <v>109</v>
      </c>
      <c r="G17" s="1353">
        <f>ROUND(116*(1-D86),2)</f>
        <v>116</v>
      </c>
      <c r="H17" s="1353">
        <f>ROUND(140*(1-D86),2)</f>
        <v>140</v>
      </c>
      <c r="I17" s="1353">
        <f>ROUND(122*(1-D86),2)</f>
        <v>122</v>
      </c>
      <c r="J17" s="1353">
        <f>ROUND(125*(1-D86),2)</f>
        <v>125</v>
      </c>
      <c r="K17" s="1353">
        <f>ROUND(136*(1-D86),2)</f>
        <v>136</v>
      </c>
      <c r="L17" s="1353">
        <f>ROUND(171*(1-D86),2)</f>
        <v>171</v>
      </c>
      <c r="M17" s="1353">
        <f>ROUND(184*(1-D86),2)</f>
        <v>184</v>
      </c>
      <c r="N17" s="1353">
        <f>ROUND(136*(1-D86),2)</f>
        <v>136</v>
      </c>
      <c r="O17" s="1353">
        <f>ROUND(156*(1-D86),2)</f>
        <v>156</v>
      </c>
      <c r="P17" s="1353">
        <f>ROUND(198*(1-D86),2)</f>
        <v>198</v>
      </c>
    </row>
    <row r="18" spans="1:16" s="1354" customFormat="1" ht="23.25" customHeight="1" x14ac:dyDescent="0.3">
      <c r="A18" s="1355" t="s">
        <v>228</v>
      </c>
      <c r="B18" s="1356">
        <v>50</v>
      </c>
      <c r="C18" s="1357" t="s">
        <v>169</v>
      </c>
      <c r="D18" s="1357" t="s">
        <v>170</v>
      </c>
      <c r="E18" s="1358">
        <f>ROUND(49*(1-D86),2)</f>
        <v>49</v>
      </c>
      <c r="F18" s="1366">
        <f>ROUND(56*(1-D86),2)</f>
        <v>56</v>
      </c>
      <c r="G18" s="1358">
        <f>ROUND(59*(1-D86),2)</f>
        <v>59</v>
      </c>
      <c r="H18" s="1358">
        <f>ROUND(70*(1-D86),2)</f>
        <v>70</v>
      </c>
      <c r="I18" s="1358">
        <f>ROUND(62*(1-D86),2)</f>
        <v>62</v>
      </c>
      <c r="J18" s="1358">
        <f>ROUND(63*(1-D86),2)</f>
        <v>63</v>
      </c>
      <c r="K18" s="1358">
        <f>ROUND(68*(1-D86),2)</f>
        <v>68</v>
      </c>
      <c r="L18" s="1358">
        <f>ROUND(83*(1-D86),2)</f>
        <v>83</v>
      </c>
      <c r="M18" s="1358">
        <f>ROUND(89*(1-D86),2)</f>
        <v>89</v>
      </c>
      <c r="N18" s="1358">
        <f>ROUND(68*(1-D86),2)</f>
        <v>68</v>
      </c>
      <c r="O18" s="1358">
        <f>ROUND(77*(1-D86),2)</f>
        <v>77</v>
      </c>
      <c r="P18" s="1358">
        <f>ROUND(95*(1-D86),2)</f>
        <v>95</v>
      </c>
    </row>
    <row r="19" spans="1:16" s="1354" customFormat="1" ht="23.25" customHeight="1" x14ac:dyDescent="0.3">
      <c r="A19" s="1359" t="s">
        <v>229</v>
      </c>
      <c r="B19" s="1360">
        <v>125</v>
      </c>
      <c r="C19" s="1361" t="s">
        <v>169</v>
      </c>
      <c r="D19" s="1361" t="s">
        <v>170</v>
      </c>
      <c r="E19" s="1362">
        <f>ROUND(101*(1-D86),2)</f>
        <v>101</v>
      </c>
      <c r="F19" s="1362">
        <f>ROUND(119*(1-D86),2)</f>
        <v>119</v>
      </c>
      <c r="G19" s="1362">
        <f>ROUND(127*(1-D86),2)</f>
        <v>127</v>
      </c>
      <c r="H19" s="1362">
        <f>ROUND(153*(1-D86),2)</f>
        <v>153</v>
      </c>
      <c r="I19" s="1362">
        <f>ROUND(132*(1-D86),2)</f>
        <v>132</v>
      </c>
      <c r="J19" s="1362">
        <f>ROUND(136*(1-D86),2)</f>
        <v>136</v>
      </c>
      <c r="K19" s="1362">
        <f>ROUND(148*(1-D86),2)</f>
        <v>148</v>
      </c>
      <c r="L19" s="1362">
        <f>ROUND(186*(1-D86),2)</f>
        <v>186</v>
      </c>
      <c r="M19" s="1362">
        <f>ROUND(201*(1-D86),2)</f>
        <v>201</v>
      </c>
      <c r="N19" s="1362">
        <f>ROUND(148*(1-D86),2)</f>
        <v>148</v>
      </c>
      <c r="O19" s="1362">
        <f>ROUND(170*(1-D86),2)</f>
        <v>170</v>
      </c>
      <c r="P19" s="1362">
        <f>ROUND(216*(1-D86),2)</f>
        <v>216</v>
      </c>
    </row>
    <row r="20" spans="1:16" s="1354" customFormat="1" ht="23.25" customHeight="1" x14ac:dyDescent="0.3">
      <c r="A20" s="1363" t="s">
        <v>230</v>
      </c>
      <c r="B20" s="1364">
        <v>208</v>
      </c>
      <c r="C20" s="1365" t="s">
        <v>169</v>
      </c>
      <c r="D20" s="1365" t="s">
        <v>170</v>
      </c>
      <c r="E20" s="1366">
        <f>ROUND(159*(1-D86),2)</f>
        <v>159</v>
      </c>
      <c r="F20" s="1366">
        <f>ROUND(188*(1-D86),2)</f>
        <v>188</v>
      </c>
      <c r="G20" s="1366">
        <f>ROUND(201*(1-D86),2)</f>
        <v>201</v>
      </c>
      <c r="H20" s="1366">
        <f>ROUND(245*(1-D86),2)</f>
        <v>245</v>
      </c>
      <c r="I20" s="1366">
        <f>ROUND(211*(1-D86),2)</f>
        <v>211</v>
      </c>
      <c r="J20" s="1366">
        <f>ROUND(217*(1-D86),2)</f>
        <v>217</v>
      </c>
      <c r="K20" s="1366">
        <f>ROUND(238*(1-D86),2)</f>
        <v>238</v>
      </c>
      <c r="L20" s="1366">
        <f>ROUND(301*(1-D86),2)</f>
        <v>301</v>
      </c>
      <c r="M20" s="1366">
        <f>ROUND(325*(1-D86),2)</f>
        <v>325</v>
      </c>
      <c r="N20" s="1366">
        <f>ROUND(238*(1-D86),2)</f>
        <v>238</v>
      </c>
      <c r="O20" s="1366">
        <f>ROUND(275*(1-D86),2)</f>
        <v>275</v>
      </c>
      <c r="P20" s="1366">
        <f>ROUND(350*(1-D86),2)</f>
        <v>350</v>
      </c>
    </row>
    <row r="21" spans="1:16" s="1354" customFormat="1" ht="23.25" customHeight="1" x14ac:dyDescent="0.3">
      <c r="A21" s="1367" t="s">
        <v>231</v>
      </c>
      <c r="B21" s="1368">
        <v>125</v>
      </c>
      <c r="C21" s="1369" t="s">
        <v>169</v>
      </c>
      <c r="D21" s="1369" t="s">
        <v>170</v>
      </c>
      <c r="E21" s="1370">
        <f>ROUND(101*(1-D86),2)</f>
        <v>101</v>
      </c>
      <c r="F21" s="1370">
        <f>ROUND(119*(1-D86),2)</f>
        <v>119</v>
      </c>
      <c r="G21" s="1370">
        <f>ROUND(127*(1-D86),2)</f>
        <v>127</v>
      </c>
      <c r="H21" s="1370">
        <f>ROUND(153*(1-D86),2)</f>
        <v>153</v>
      </c>
      <c r="I21" s="1370">
        <f>ROUND(132*(1-D86),2)</f>
        <v>132</v>
      </c>
      <c r="J21" s="1370">
        <f>ROUND(136*(1-D86),2)</f>
        <v>136</v>
      </c>
      <c r="K21" s="1370">
        <f>ROUND(148*(1-D86),2)</f>
        <v>148</v>
      </c>
      <c r="L21" s="1370">
        <f>ROUND(186*(1-D86),2)</f>
        <v>186</v>
      </c>
      <c r="M21" s="1370">
        <f>ROUND(201*(1-D86),2)</f>
        <v>201</v>
      </c>
      <c r="N21" s="1370">
        <f>ROUND(148*(1-D86),2)</f>
        <v>148</v>
      </c>
      <c r="O21" s="1370">
        <f>ROUND(170*(1-D86),2)</f>
        <v>170</v>
      </c>
      <c r="P21" s="1370">
        <f>ROUND(216*(1-D86),2)</f>
        <v>216</v>
      </c>
    </row>
    <row r="22" spans="1:16" s="1354" customFormat="1" ht="23.25" customHeight="1" x14ac:dyDescent="0.3">
      <c r="A22" s="1371" t="s">
        <v>232</v>
      </c>
      <c r="B22" s="1372">
        <v>312</v>
      </c>
      <c r="C22" s="1373" t="s">
        <v>169</v>
      </c>
      <c r="D22" s="1373" t="s">
        <v>170</v>
      </c>
      <c r="E22" s="1374">
        <f>ROUND(232*(1-D86),2)</f>
        <v>232</v>
      </c>
      <c r="F22" s="1374">
        <f>ROUND(275*(1-D86),2)</f>
        <v>275</v>
      </c>
      <c r="G22" s="1374">
        <f>ROUND(295*(1-D86),2)</f>
        <v>295</v>
      </c>
      <c r="H22" s="1374">
        <f>ROUND(360*(1-D86),2)</f>
        <v>360</v>
      </c>
      <c r="I22" s="1374">
        <f>ROUND(310*(1-D86),2)</f>
        <v>310</v>
      </c>
      <c r="J22" s="1374">
        <f>ROUND(319*(1-D86),2)</f>
        <v>319</v>
      </c>
      <c r="K22" s="1374">
        <f>ROUND(349*(1-D86),2)</f>
        <v>349</v>
      </c>
      <c r="L22" s="1374">
        <f>ROUND(444*(1-D86),2)</f>
        <v>444</v>
      </c>
      <c r="M22" s="1374">
        <f>ROUND(480*(1-D86),2)</f>
        <v>480</v>
      </c>
      <c r="N22" s="1374">
        <f>ROUND(350*(1-D86),2)</f>
        <v>350</v>
      </c>
      <c r="O22" s="1374">
        <f>ROUND(405*(1-D86),2)</f>
        <v>405</v>
      </c>
      <c r="P22" s="1374">
        <f>ROUND(519*(1-D86),2)</f>
        <v>519</v>
      </c>
    </row>
    <row r="23" spans="1:16" s="1354" customFormat="1" ht="23.25" customHeight="1" x14ac:dyDescent="0.3">
      <c r="A23" s="1375" t="s">
        <v>233</v>
      </c>
      <c r="B23" s="1376">
        <v>80</v>
      </c>
      <c r="C23" s="1377" t="s">
        <v>169</v>
      </c>
      <c r="D23" s="1377" t="s">
        <v>170</v>
      </c>
      <c r="E23" s="1378">
        <f>ROUND(72*(1-D86),2)</f>
        <v>72</v>
      </c>
      <c r="F23" s="1378">
        <f>ROUND(84*(1-D86),2)</f>
        <v>84</v>
      </c>
      <c r="G23" s="1378">
        <f>ROUND(89*(1-D86),2)</f>
        <v>89</v>
      </c>
      <c r="H23" s="1378">
        <f>ROUND(107*(1-D86),2)</f>
        <v>107</v>
      </c>
      <c r="I23" s="1378">
        <f>ROUND(93*(1-D86),2)</f>
        <v>93</v>
      </c>
      <c r="J23" s="1378">
        <f>ROUND(96*(1-D86),2)</f>
        <v>96</v>
      </c>
      <c r="K23" s="1378">
        <f>ROUND(104*(1-D86),2)</f>
        <v>104</v>
      </c>
      <c r="L23" s="1378">
        <f>ROUND(129*(1-D86),2)</f>
        <v>129</v>
      </c>
      <c r="M23" s="1378">
        <f>ROUND(139*(1-D86),2)</f>
        <v>139</v>
      </c>
      <c r="N23" s="1378">
        <f>ROUND(104*(1-D86),2)</f>
        <v>104</v>
      </c>
      <c r="O23" s="1378">
        <f>ROUND(118*(1-D86),2)</f>
        <v>118</v>
      </c>
      <c r="P23" s="1378">
        <f>ROUND(149*(1-D86),2)</f>
        <v>149</v>
      </c>
    </row>
    <row r="24" spans="1:16" s="1354" customFormat="1" ht="23.25" customHeight="1" x14ac:dyDescent="0.3">
      <c r="A24" s="1355" t="s">
        <v>234</v>
      </c>
      <c r="B24" s="1356">
        <v>80</v>
      </c>
      <c r="C24" s="1357" t="s">
        <v>169</v>
      </c>
      <c r="D24" s="1357" t="s">
        <v>170</v>
      </c>
      <c r="E24" s="1358">
        <f>ROUND(72*(1-D86),2)</f>
        <v>72</v>
      </c>
      <c r="F24" s="1358">
        <f>ROUND(84*(1-D86),2)</f>
        <v>84</v>
      </c>
      <c r="G24" s="1358">
        <f>ROUND(89*(1-D86),2)</f>
        <v>89</v>
      </c>
      <c r="H24" s="1358">
        <f>ROUND(107*(1-D86),2)</f>
        <v>107</v>
      </c>
      <c r="I24" s="1358">
        <f>ROUND(93*(1-D86),2)</f>
        <v>93</v>
      </c>
      <c r="J24" s="1358">
        <f>ROUND(96*(1-D86),2)</f>
        <v>96</v>
      </c>
      <c r="K24" s="1358">
        <f>ROUND(104*(1-D86),2)</f>
        <v>104</v>
      </c>
      <c r="L24" s="1358">
        <f>ROUND(129*(1-D86),2)</f>
        <v>129</v>
      </c>
      <c r="M24" s="1358">
        <f>ROUND(139*(1-D86),2)</f>
        <v>139</v>
      </c>
      <c r="N24" s="1358">
        <f>ROUND(104*(1-D86),2)</f>
        <v>104</v>
      </c>
      <c r="O24" s="1358">
        <f>ROUND(118*(1-D86),2)</f>
        <v>118</v>
      </c>
      <c r="P24" s="1358">
        <f>ROUND(159*(1-D86),2)</f>
        <v>159</v>
      </c>
    </row>
    <row r="25" spans="1:16" s="1354" customFormat="1" ht="23.25" customHeight="1" x14ac:dyDescent="0.3">
      <c r="A25" s="1375" t="s">
        <v>235</v>
      </c>
      <c r="B25" s="1376">
        <v>208</v>
      </c>
      <c r="C25" s="1377" t="s">
        <v>169</v>
      </c>
      <c r="D25" s="1377" t="s">
        <v>170</v>
      </c>
      <c r="E25" s="1378">
        <f>ROUND(159*(1-D86),2)</f>
        <v>159</v>
      </c>
      <c r="F25" s="1378">
        <f>ROUND(188*(1-D86),2)</f>
        <v>188</v>
      </c>
      <c r="G25" s="1378">
        <f>ROUND(201*(1-D86),2)</f>
        <v>201</v>
      </c>
      <c r="H25" s="1378">
        <f>ROUND(245*(1-D86),2)</f>
        <v>245</v>
      </c>
      <c r="I25" s="1378">
        <f>ROUND(211*(1-D86),2)</f>
        <v>211</v>
      </c>
      <c r="J25" s="1378">
        <f>ROUND(217*(1-D86),2)</f>
        <v>217</v>
      </c>
      <c r="K25" s="1378">
        <f>ROUND(238*(1-D86),2)</f>
        <v>238</v>
      </c>
      <c r="L25" s="1378">
        <f>ROUND(301*(1-D86),2)</f>
        <v>301</v>
      </c>
      <c r="M25" s="1378">
        <f>ROUND(325*(1-D86),2)</f>
        <v>325</v>
      </c>
      <c r="N25" s="1378">
        <f>ROUND(238*(1-D86),2)</f>
        <v>238</v>
      </c>
      <c r="O25" s="1378">
        <f>ROUND(275*(1-D86),2)</f>
        <v>275</v>
      </c>
      <c r="P25" s="1378">
        <f>ROUND(350*(1-D86),2)</f>
        <v>350</v>
      </c>
    </row>
    <row r="26" spans="1:16" s="94" customFormat="1" ht="23.25" customHeight="1" x14ac:dyDescent="0.3">
      <c r="A26" s="1379" t="s">
        <v>236</v>
      </c>
      <c r="B26" s="1380">
        <v>250</v>
      </c>
      <c r="C26" s="1381" t="s">
        <v>169</v>
      </c>
      <c r="D26" s="1381" t="s">
        <v>170</v>
      </c>
      <c r="E26" s="1382">
        <f>ROUND(189*(1-D86),2)</f>
        <v>189</v>
      </c>
      <c r="F26" s="1382">
        <f>ROUND(223*(1-D86),2)</f>
        <v>223</v>
      </c>
      <c r="G26" s="1382">
        <f>ROUND(239*(1-D86),2)</f>
        <v>239</v>
      </c>
      <c r="H26" s="1382">
        <f>ROUND(291*(1-D86),2)</f>
        <v>291</v>
      </c>
      <c r="I26" s="1382">
        <f>ROUND(251*(1-D86),2)</f>
        <v>251</v>
      </c>
      <c r="J26" s="1382">
        <f>ROUND(258*(1-D86),2)</f>
        <v>258</v>
      </c>
      <c r="K26" s="1382">
        <f>ROUND(281*(1-D86),2)</f>
        <v>281</v>
      </c>
      <c r="L26" s="1382">
        <f>ROUND(358*(1-D86),2)</f>
        <v>358</v>
      </c>
      <c r="M26" s="1382">
        <f>ROUND(387*(1-D86),2)</f>
        <v>387</v>
      </c>
      <c r="N26" s="1382">
        <f>ROUND(283*(1-D86),2)</f>
        <v>283</v>
      </c>
      <c r="O26" s="1382">
        <f>ROUND(327*(1-D86),2)</f>
        <v>327</v>
      </c>
      <c r="P26" s="1382">
        <f>ROUND(418*(1-D86),2)</f>
        <v>418</v>
      </c>
    </row>
    <row r="27" spans="1:16" s="94" customFormat="1" ht="23.25" customHeight="1" x14ac:dyDescent="0.3">
      <c r="A27" s="1383" t="s">
        <v>237</v>
      </c>
      <c r="B27" s="1384">
        <v>80</v>
      </c>
      <c r="C27" s="1385" t="s">
        <v>169</v>
      </c>
      <c r="D27" s="1385" t="s">
        <v>170</v>
      </c>
      <c r="E27" s="1370">
        <f>ROUND(72*(1-D86),2)</f>
        <v>72</v>
      </c>
      <c r="F27" s="1370">
        <f>ROUND(84*(1-D86),2)</f>
        <v>84</v>
      </c>
      <c r="G27" s="1370">
        <f>ROUND(89*(1-D86),2)</f>
        <v>89</v>
      </c>
      <c r="H27" s="1370">
        <f>ROUND(107*(1-D86),2)</f>
        <v>107</v>
      </c>
      <c r="I27" s="1370">
        <f>ROUND(93*(1-D86),2)</f>
        <v>93</v>
      </c>
      <c r="J27" s="1370">
        <f>ROUND(96*(1-D86),2)</f>
        <v>96</v>
      </c>
      <c r="K27" s="1370">
        <f>ROUND(104*(1-D86),2)</f>
        <v>104</v>
      </c>
      <c r="L27" s="1370">
        <f>ROUND(129*(1-D86),2)</f>
        <v>129</v>
      </c>
      <c r="M27" s="1370">
        <f>ROUND(139*(1-D86),2)</f>
        <v>139</v>
      </c>
      <c r="N27" s="1370">
        <f>ROUND(104*(1-D86),2)</f>
        <v>104</v>
      </c>
      <c r="O27" s="1370">
        <f>ROUND(118*(1-D86),2)</f>
        <v>118</v>
      </c>
      <c r="P27" s="1370">
        <f>ROUND(149*(1-D86),2)</f>
        <v>149</v>
      </c>
    </row>
    <row r="28" spans="1:16" s="94" customFormat="1" ht="23.25" customHeight="1" x14ac:dyDescent="0.3">
      <c r="A28" s="1386" t="s">
        <v>238</v>
      </c>
      <c r="B28" s="1387">
        <v>250</v>
      </c>
      <c r="C28" s="1388" t="s">
        <v>169</v>
      </c>
      <c r="D28" s="1389" t="s">
        <v>170</v>
      </c>
      <c r="E28" s="1366">
        <f>ROUND(189*(1-D86),2)</f>
        <v>189</v>
      </c>
      <c r="F28" s="1366">
        <f>ROUND(223*(1-D86),2)</f>
        <v>223</v>
      </c>
      <c r="G28" s="1366">
        <f>ROUND(239*(1-D86),2)</f>
        <v>239</v>
      </c>
      <c r="H28" s="1366">
        <f>ROUND(291*(1-D86),2)</f>
        <v>291</v>
      </c>
      <c r="I28" s="1366">
        <f>ROUND(251*(1-D86),2)</f>
        <v>251</v>
      </c>
      <c r="J28" s="1366">
        <f>ROUND(258*(1-D86),2)</f>
        <v>258</v>
      </c>
      <c r="K28" s="1366">
        <f>ROUND(282*(1-D86),2)</f>
        <v>282</v>
      </c>
      <c r="L28" s="1366">
        <f>ROUND(358*(1-D86),2)</f>
        <v>358</v>
      </c>
      <c r="M28" s="1366">
        <f>ROUND(387*(1-D86),2)</f>
        <v>387</v>
      </c>
      <c r="N28" s="1366">
        <f>ROUND(283*(1-D86),2)</f>
        <v>283</v>
      </c>
      <c r="O28" s="1366">
        <f>ROUND(327*(1-D86),2)</f>
        <v>327</v>
      </c>
      <c r="P28" s="1366">
        <f>ROUND(418*(1-D86),2)</f>
        <v>418</v>
      </c>
    </row>
    <row r="29" spans="1:16" s="94" customFormat="1" ht="23.25" customHeight="1" x14ac:dyDescent="0.3">
      <c r="A29" s="1390" t="s">
        <v>239</v>
      </c>
      <c r="B29" s="1391">
        <v>80</v>
      </c>
      <c r="C29" s="1392" t="s">
        <v>169</v>
      </c>
      <c r="D29" s="1392" t="s">
        <v>170</v>
      </c>
      <c r="E29" s="1393">
        <f>ROUND(72*(1-D86),2)</f>
        <v>72</v>
      </c>
      <c r="F29" s="1393">
        <f>ROUND(84*(1-D86),2)</f>
        <v>84</v>
      </c>
      <c r="G29" s="1393">
        <f>ROUND(89*(1-D86),2)</f>
        <v>89</v>
      </c>
      <c r="H29" s="1393">
        <f>ROUND(107*(1-D86),2)</f>
        <v>107</v>
      </c>
      <c r="I29" s="1393">
        <f>ROUND(93*(1-D86),2)</f>
        <v>93</v>
      </c>
      <c r="J29" s="1393">
        <f>ROUND(96*(1-D86),2)</f>
        <v>96</v>
      </c>
      <c r="K29" s="1393">
        <f>ROUND(104*(1-D86),2)</f>
        <v>104</v>
      </c>
      <c r="L29" s="1393">
        <f>ROUND(129*(1-D86),2)</f>
        <v>129</v>
      </c>
      <c r="M29" s="1393">
        <f>ROUND(139*(1-D86),2)</f>
        <v>139</v>
      </c>
      <c r="N29" s="1393">
        <f>ROUND(104*(1-D86),2)</f>
        <v>104</v>
      </c>
      <c r="O29" s="1393">
        <f>ROUND(118*(1-D86),2)</f>
        <v>118</v>
      </c>
      <c r="P29" s="1393">
        <f>ROUND(149*(1-D86),2)</f>
        <v>149</v>
      </c>
    </row>
    <row r="30" spans="1:16" s="1354" customFormat="1" ht="23.25" customHeight="1" x14ac:dyDescent="0.3">
      <c r="A30" s="1394" t="s">
        <v>240</v>
      </c>
      <c r="B30" s="1395">
        <v>260</v>
      </c>
      <c r="C30" s="1396" t="s">
        <v>169</v>
      </c>
      <c r="D30" s="1396" t="s">
        <v>170</v>
      </c>
      <c r="E30" s="1382">
        <f>ROUND(232*(1-D86),2)</f>
        <v>232</v>
      </c>
      <c r="F30" s="1382">
        <f>ROUND(275*(1-D86),2)</f>
        <v>275</v>
      </c>
      <c r="G30" s="1382">
        <f>ROUND(295*(1-D86),2)</f>
        <v>295</v>
      </c>
      <c r="H30" s="1382">
        <f>ROUND(360*(1-D86),2)</f>
        <v>360</v>
      </c>
      <c r="I30" s="1382">
        <f>ROUND(310*(1-D86),2)</f>
        <v>310</v>
      </c>
      <c r="J30" s="1382">
        <f>ROUND(319*(1-D86),2)</f>
        <v>319</v>
      </c>
      <c r="K30" s="1382">
        <f>ROUND(349*(1-D86),2)</f>
        <v>349</v>
      </c>
      <c r="L30" s="1382">
        <f>ROUND(444*(1-D86),2)</f>
        <v>444</v>
      </c>
      <c r="M30" s="1382">
        <f>ROUND(480*(1-D86),2)</f>
        <v>480</v>
      </c>
      <c r="N30" s="1382">
        <f>ROUND(350*(1-D86),2)</f>
        <v>350</v>
      </c>
      <c r="O30" s="1382">
        <f>ROUND(405*(1-D86),2)</f>
        <v>405</v>
      </c>
      <c r="P30" s="1382">
        <f>ROUND(519*(1-D86),2)</f>
        <v>519</v>
      </c>
    </row>
    <row r="31" spans="1:16" s="1354" customFormat="1" ht="23.25" customHeight="1" x14ac:dyDescent="0.3">
      <c r="A31" s="1367" t="s">
        <v>241</v>
      </c>
      <c r="B31" s="1368">
        <v>285</v>
      </c>
      <c r="C31" s="1369" t="s">
        <v>169</v>
      </c>
      <c r="D31" s="1369" t="s">
        <v>170</v>
      </c>
      <c r="E31" s="1370">
        <f>ROUND(232*(1-D86),2)</f>
        <v>232</v>
      </c>
      <c r="F31" s="1370">
        <f>ROUND(275*(1-D86),2)</f>
        <v>275</v>
      </c>
      <c r="G31" s="1370">
        <f>ROUND(295*(1-D86),2)</f>
        <v>295</v>
      </c>
      <c r="H31" s="1370">
        <f>ROUND(360*(1-D86),2)</f>
        <v>360</v>
      </c>
      <c r="I31" s="1370">
        <f>ROUND(310*(1-D86),2)</f>
        <v>310</v>
      </c>
      <c r="J31" s="1370">
        <f>ROUND(319*(1-D86),2)</f>
        <v>319</v>
      </c>
      <c r="K31" s="1370">
        <f>ROUND(349*(1-D86),2)</f>
        <v>349</v>
      </c>
      <c r="L31" s="1370">
        <f>ROUND(444*(1-D86),2)</f>
        <v>444</v>
      </c>
      <c r="M31" s="1370">
        <f>ROUND(480*(1-D86),2)</f>
        <v>480</v>
      </c>
      <c r="N31" s="1370">
        <f>ROUND(350*(1-D86),2)</f>
        <v>350</v>
      </c>
      <c r="O31" s="1370">
        <f>ROUND(405*(1-D86),2)</f>
        <v>405</v>
      </c>
      <c r="P31" s="1370">
        <f>ROUND(519*(1-D86),2)</f>
        <v>519</v>
      </c>
    </row>
    <row r="32" spans="1:16" s="1354" customFormat="1" ht="23.25" customHeight="1" x14ac:dyDescent="0.3">
      <c r="A32" s="1363" t="s">
        <v>242</v>
      </c>
      <c r="B32" s="1364">
        <v>312</v>
      </c>
      <c r="C32" s="1365" t="s">
        <v>169</v>
      </c>
      <c r="D32" s="1365" t="s">
        <v>170</v>
      </c>
      <c r="E32" s="1366">
        <f>ROUND(232*(1-D86),2)</f>
        <v>232</v>
      </c>
      <c r="F32" s="1366">
        <f>ROUND(275*(1-D86),2)</f>
        <v>275</v>
      </c>
      <c r="G32" s="1366">
        <f>ROUND(295*(1-D86),2)</f>
        <v>295</v>
      </c>
      <c r="H32" s="1366">
        <f>ROUND(360*(1-D86),2)</f>
        <v>360</v>
      </c>
      <c r="I32" s="1366">
        <f>ROUND(310*(1-D86),2)</f>
        <v>310</v>
      </c>
      <c r="J32" s="1366">
        <f>ROUND(319*(1-D86),2)</f>
        <v>319</v>
      </c>
      <c r="K32" s="1366">
        <f>ROUND(349*(1-D86),2)</f>
        <v>349</v>
      </c>
      <c r="L32" s="1366">
        <f>ROUND(444*(1-D86),2)</f>
        <v>444</v>
      </c>
      <c r="M32" s="1366">
        <f>ROUND(480*(1-D86),2)</f>
        <v>480</v>
      </c>
      <c r="N32" s="1366">
        <f>ROUND(350*(1-D86),2)</f>
        <v>350</v>
      </c>
      <c r="O32" s="1366">
        <f>ROUND(405*(1-D86),2)</f>
        <v>405</v>
      </c>
      <c r="P32" s="1366">
        <f>ROUND(519*(1-D86),2)</f>
        <v>519</v>
      </c>
    </row>
    <row r="33" spans="1:17" s="1354" customFormat="1" ht="23.25" customHeight="1" x14ac:dyDescent="0.3">
      <c r="A33" s="1367" t="s">
        <v>243</v>
      </c>
      <c r="B33" s="1368">
        <v>335</v>
      </c>
      <c r="C33" s="1369" t="s">
        <v>169</v>
      </c>
      <c r="D33" s="1369" t="s">
        <v>170</v>
      </c>
      <c r="E33" s="1370">
        <f>ROUND(305*(1-D86),2)</f>
        <v>305</v>
      </c>
      <c r="F33" s="1370">
        <f>ROUND(363*(1-D86),2)</f>
        <v>363</v>
      </c>
      <c r="G33" s="1370">
        <f>ROUND(389*(1-D86),2)</f>
        <v>389</v>
      </c>
      <c r="H33" s="1370">
        <f>ROUND(476*(1-D86),2)</f>
        <v>476</v>
      </c>
      <c r="I33" s="1370">
        <f>ROUND(408*(1-D86),2)</f>
        <v>408</v>
      </c>
      <c r="J33" s="1370">
        <f>ROUND(421*(1-D86),2)</f>
        <v>421</v>
      </c>
      <c r="K33" s="1370">
        <f>ROUND(461*(1-D86),2)</f>
        <v>461</v>
      </c>
      <c r="L33" s="1370">
        <f>ROUND(588*(1-D86),2)</f>
        <v>588</v>
      </c>
      <c r="M33" s="1370">
        <f>ROUND(636*(1-D86),2)</f>
        <v>636</v>
      </c>
      <c r="N33" s="1370">
        <f>ROUND(462*(1-D86),2)</f>
        <v>462</v>
      </c>
      <c r="O33" s="1370">
        <f>ROUND(535*(1-D86),2)</f>
        <v>535</v>
      </c>
      <c r="P33" s="1370">
        <f>ROUND(687*(1-D86),2)</f>
        <v>687</v>
      </c>
    </row>
    <row r="34" spans="1:17" s="94" customFormat="1" ht="23.25" customHeight="1" x14ac:dyDescent="0.3">
      <c r="A34" s="1394" t="s">
        <v>244</v>
      </c>
      <c r="B34" s="1395">
        <v>312</v>
      </c>
      <c r="C34" s="1396" t="s">
        <v>169</v>
      </c>
      <c r="D34" s="1396" t="s">
        <v>170</v>
      </c>
      <c r="E34" s="1382">
        <f>ROUND(232*(1-D86),2)</f>
        <v>232</v>
      </c>
      <c r="F34" s="1382">
        <f>ROUND(275*(1-D86),2)</f>
        <v>275</v>
      </c>
      <c r="G34" s="1382">
        <f>ROUND(295*(1-D86),2)</f>
        <v>295</v>
      </c>
      <c r="H34" s="1382">
        <f>ROUND(360*(1-D86),2)</f>
        <v>360</v>
      </c>
      <c r="I34" s="1382">
        <f>ROUND(310*(1-D86),2)</f>
        <v>310</v>
      </c>
      <c r="J34" s="1382">
        <f>ROUND(319*(1-D86),2)</f>
        <v>319</v>
      </c>
      <c r="K34" s="1382">
        <f>ROUND(349*(1-D86),2)</f>
        <v>349</v>
      </c>
      <c r="L34" s="1382">
        <f>ROUND(444*(1-D86),2)</f>
        <v>444</v>
      </c>
      <c r="M34" s="1382">
        <f>ROUND(480*(1-D86),2)</f>
        <v>480</v>
      </c>
      <c r="N34" s="1382">
        <f>ROUND(350*(1-D86),2)</f>
        <v>350</v>
      </c>
      <c r="O34" s="1382">
        <f>ROUND(405*(1-D86),2)</f>
        <v>405</v>
      </c>
      <c r="P34" s="1382">
        <f>ROUND(519*(1-D86),2)</f>
        <v>519</v>
      </c>
    </row>
    <row r="35" spans="1:17" s="94" customFormat="1" ht="23.25" customHeight="1" x14ac:dyDescent="0.3">
      <c r="A35" s="1397" t="s">
        <v>245</v>
      </c>
      <c r="B35" s="1398">
        <v>312</v>
      </c>
      <c r="C35" s="1399" t="s">
        <v>169</v>
      </c>
      <c r="D35" s="1399" t="s">
        <v>170</v>
      </c>
      <c r="E35" s="1393">
        <f>ROUND(232*(1-D86),2)</f>
        <v>232</v>
      </c>
      <c r="F35" s="1393">
        <f>ROUND(275*(1-D86),2)</f>
        <v>275</v>
      </c>
      <c r="G35" s="1393">
        <f>ROUND(295*(1-D86),2)</f>
        <v>295</v>
      </c>
      <c r="H35" s="1393">
        <f>ROUND(360*(1-D86),2)</f>
        <v>360</v>
      </c>
      <c r="I35" s="1393">
        <f>ROUND(310*(1-D86),2)</f>
        <v>310</v>
      </c>
      <c r="J35" s="1393">
        <f>ROUND(319*(1-D86),2)</f>
        <v>319</v>
      </c>
      <c r="K35" s="1393">
        <f>ROUND(349*(1-D86),2)</f>
        <v>349</v>
      </c>
      <c r="L35" s="1393">
        <f>ROUND(444*(1-D86),2)</f>
        <v>444</v>
      </c>
      <c r="M35" s="1393">
        <f>ROUND(480*(1-D86),2)</f>
        <v>480</v>
      </c>
      <c r="N35" s="1393">
        <f>ROUND(350*(1-D86),2)</f>
        <v>350</v>
      </c>
      <c r="O35" s="1393">
        <f>ROUND(405*(1-D86),2)</f>
        <v>405</v>
      </c>
      <c r="P35" s="1393">
        <f>ROUND(519*(1-D86),2)</f>
        <v>519</v>
      </c>
    </row>
    <row r="36" spans="1:17" s="94" customFormat="1" ht="23.25" customHeight="1" x14ac:dyDescent="0.3">
      <c r="A36" s="1394" t="s">
        <v>246</v>
      </c>
      <c r="B36" s="1395">
        <v>160</v>
      </c>
      <c r="C36" s="1396" t="s">
        <v>169</v>
      </c>
      <c r="D36" s="1396" t="s">
        <v>170</v>
      </c>
      <c r="E36" s="1382">
        <f>ROUND(139*(1-D86),2)</f>
        <v>139</v>
      </c>
      <c r="F36" s="1382">
        <f>ROUND(164*(1-D86),2)</f>
        <v>164</v>
      </c>
      <c r="G36" s="1382">
        <f>ROUND(175*(1-D86),2)</f>
        <v>175</v>
      </c>
      <c r="H36" s="1382">
        <f>ROUND(212*(1-D86),2)</f>
        <v>212</v>
      </c>
      <c r="I36" s="1382">
        <f>ROUND(183*(1-D86),2)</f>
        <v>183</v>
      </c>
      <c r="J36" s="1382">
        <f>ROUND(188*(1-D86),2)</f>
        <v>188</v>
      </c>
      <c r="K36" s="1382">
        <f>ROUND(206*(1-D86),2)</f>
        <v>206</v>
      </c>
      <c r="L36" s="1382">
        <f>ROUND(260*(1-D86),2)</f>
        <v>260</v>
      </c>
      <c r="M36" s="1382">
        <f>ROUND(281*(1-D86),2)</f>
        <v>281</v>
      </c>
      <c r="N36" s="1382">
        <f>ROUND(206*(1-D86),2)</f>
        <v>206</v>
      </c>
      <c r="O36" s="1382">
        <f>ROUND(237*(1-D86),2)</f>
        <v>237</v>
      </c>
      <c r="P36" s="1382">
        <f>ROUND(302*(1-D86),2)</f>
        <v>302</v>
      </c>
    </row>
    <row r="37" spans="1:17" s="94" customFormat="1" ht="23.25" customHeight="1" x14ac:dyDescent="0.3">
      <c r="A37" s="1367" t="s">
        <v>247</v>
      </c>
      <c r="B37" s="1368">
        <v>210</v>
      </c>
      <c r="C37" s="1369" t="s">
        <v>169</v>
      </c>
      <c r="D37" s="1369" t="s">
        <v>170</v>
      </c>
      <c r="E37" s="1370">
        <f>ROUND(189*(1-D86),2)</f>
        <v>189</v>
      </c>
      <c r="F37" s="1370">
        <f>ROUND(223*(1-D86),2)</f>
        <v>223</v>
      </c>
      <c r="G37" s="1370">
        <f>ROUND(239*(1-D86),2)</f>
        <v>239</v>
      </c>
      <c r="H37" s="1370">
        <f>ROUND(291*(1-D86),2)</f>
        <v>291</v>
      </c>
      <c r="I37" s="1370">
        <f>ROUND(251*(1-D86),2)</f>
        <v>251</v>
      </c>
      <c r="J37" s="1370">
        <f>ROUND(258*(1-D86),2)</f>
        <v>258</v>
      </c>
      <c r="K37" s="1370">
        <f>ROUND(282*(1-D86),2)</f>
        <v>282</v>
      </c>
      <c r="L37" s="1370">
        <f>ROUND(358*(1-D86),2)</f>
        <v>358</v>
      </c>
      <c r="M37" s="1370">
        <f>ROUND(387*(1-D86),2)</f>
        <v>387</v>
      </c>
      <c r="N37" s="1370">
        <f>ROUND(283*(1-D86),2)</f>
        <v>283</v>
      </c>
      <c r="O37" s="1370">
        <f>ROUND(327*(1-D86),2)</f>
        <v>327</v>
      </c>
      <c r="P37" s="1370">
        <f>ROUND(418*(1-D86),2)</f>
        <v>418</v>
      </c>
    </row>
    <row r="38" spans="1:17" s="94" customFormat="1" ht="23.25" customHeight="1" x14ac:dyDescent="0.3">
      <c r="A38" s="1363" t="s">
        <v>248</v>
      </c>
      <c r="B38" s="1364">
        <v>220</v>
      </c>
      <c r="C38" s="1365" t="s">
        <v>169</v>
      </c>
      <c r="D38" s="1365" t="s">
        <v>170</v>
      </c>
      <c r="E38" s="1366">
        <f>ROUND(189*(1-D86),2)</f>
        <v>189</v>
      </c>
      <c r="F38" s="1366">
        <f>ROUND(223*(1-D86),2)</f>
        <v>223</v>
      </c>
      <c r="G38" s="1366">
        <f>ROUND(239*(1-D86),2)</f>
        <v>239</v>
      </c>
      <c r="H38" s="1366">
        <f>ROUND(291*(1-D86),2)</f>
        <v>291</v>
      </c>
      <c r="I38" s="1366">
        <f>ROUND(251*(1-D86),2)</f>
        <v>251</v>
      </c>
      <c r="J38" s="1366">
        <f>ROUND(258*(1-D86),2)</f>
        <v>258</v>
      </c>
      <c r="K38" s="1366">
        <f>ROUND(282*(1-D86),2)</f>
        <v>282</v>
      </c>
      <c r="L38" s="1366">
        <f>ROUND(358*(1-D86),2)</f>
        <v>358</v>
      </c>
      <c r="M38" s="1366">
        <f>ROUND(387*(1-D86),2)</f>
        <v>387</v>
      </c>
      <c r="N38" s="1366">
        <f>ROUND(283*(1-D86),2)</f>
        <v>283</v>
      </c>
      <c r="O38" s="1366">
        <f>ROUND(327*(1-D86),2)</f>
        <v>327</v>
      </c>
      <c r="P38" s="1366">
        <f>ROUND(418*(1-D86),2)</f>
        <v>418</v>
      </c>
    </row>
    <row r="39" spans="1:17" s="94" customFormat="1" ht="23.25" customHeight="1" x14ac:dyDescent="0.3">
      <c r="A39" s="1400" t="s">
        <v>249</v>
      </c>
      <c r="B39" s="1401">
        <v>260</v>
      </c>
      <c r="C39" s="1402" t="s">
        <v>169</v>
      </c>
      <c r="D39" s="1402" t="s">
        <v>170</v>
      </c>
      <c r="E39" s="1403">
        <f>ROUND(232*(1-D86),2)</f>
        <v>232</v>
      </c>
      <c r="F39" s="1403">
        <f>ROUND(275*(1-D86),2)</f>
        <v>275</v>
      </c>
      <c r="G39" s="1403">
        <f>ROUND(295*(1-D86),2)</f>
        <v>295</v>
      </c>
      <c r="H39" s="1403">
        <f>ROUND(360*(1-D86),2)</f>
        <v>360</v>
      </c>
      <c r="I39" s="1403">
        <f>ROUND(310*(1-D86),2)</f>
        <v>310</v>
      </c>
      <c r="J39" s="1403">
        <f>ROUND(319*(1-D86),2)</f>
        <v>319</v>
      </c>
      <c r="K39" s="1403">
        <f>ROUND(349*(1-D86),2)</f>
        <v>349</v>
      </c>
      <c r="L39" s="1403">
        <f>ROUND(444*(1-D86),2)</f>
        <v>444</v>
      </c>
      <c r="M39" s="1403">
        <f>ROUND(480*(1-D86),2)</f>
        <v>480</v>
      </c>
      <c r="N39" s="1403">
        <f>ROUND(350*(1-D86),2)</f>
        <v>350</v>
      </c>
      <c r="O39" s="1403">
        <f>ROUND(405*(1-D86),2)</f>
        <v>405</v>
      </c>
      <c r="P39" s="1403">
        <f>ROUND(519*(1-D86),2)</f>
        <v>519</v>
      </c>
    </row>
    <row r="40" spans="1:17" s="94" customFormat="1" ht="23.25" customHeight="1" x14ac:dyDescent="0.3">
      <c r="A40" s="1363" t="s">
        <v>250</v>
      </c>
      <c r="B40" s="1364">
        <v>312</v>
      </c>
      <c r="C40" s="1365" t="s">
        <v>169</v>
      </c>
      <c r="D40" s="1365" t="s">
        <v>170</v>
      </c>
      <c r="E40" s="1366">
        <f>ROUND(232*(1-D86),2)</f>
        <v>232</v>
      </c>
      <c r="F40" s="1366">
        <f>ROUND(275*(1-D86),2)</f>
        <v>275</v>
      </c>
      <c r="G40" s="1366">
        <f>ROUND(295*(1-D86),2)</f>
        <v>295</v>
      </c>
      <c r="H40" s="1366">
        <f>ROUND(360*(1-D86),2)</f>
        <v>360</v>
      </c>
      <c r="I40" s="1366">
        <f>ROUND(310*(1-D86),2)</f>
        <v>310</v>
      </c>
      <c r="J40" s="1366">
        <f>ROUND(319*(1-D86),2)</f>
        <v>319</v>
      </c>
      <c r="K40" s="1366">
        <f>ROUND(349*(1-D86),2)</f>
        <v>349</v>
      </c>
      <c r="L40" s="1366">
        <f>ROUND(444*(1-D86),2)</f>
        <v>444</v>
      </c>
      <c r="M40" s="1366">
        <f>ROUND(480*(1-D86),2)</f>
        <v>480</v>
      </c>
      <c r="N40" s="1366">
        <f>ROUND(350*(1-D86),2)</f>
        <v>350</v>
      </c>
      <c r="O40" s="1366">
        <f>ROUND(405*(1-D86),2)</f>
        <v>405</v>
      </c>
      <c r="P40" s="1366">
        <f>ROUND(519*(1-D86),2)</f>
        <v>519</v>
      </c>
    </row>
    <row r="41" spans="1:17" s="94" customFormat="1" ht="23.25" customHeight="1" x14ac:dyDescent="0.3">
      <c r="A41" s="2995" t="s">
        <v>251</v>
      </c>
      <c r="B41" s="2996"/>
      <c r="C41" s="2996"/>
      <c r="D41" s="2996"/>
      <c r="E41" s="2996"/>
      <c r="F41" s="2996"/>
      <c r="G41" s="2996"/>
      <c r="H41" s="2996"/>
      <c r="I41" s="2996"/>
      <c r="J41" s="2996"/>
      <c r="K41" s="2996"/>
      <c r="L41" s="2996"/>
      <c r="M41" s="2996"/>
      <c r="N41" s="2996"/>
      <c r="O41" s="2996"/>
      <c r="P41" s="2997"/>
      <c r="Q41" s="105"/>
    </row>
    <row r="42" spans="1:17" s="1354" customFormat="1" ht="23.25" customHeight="1" x14ac:dyDescent="0.3">
      <c r="A42" s="1367" t="s">
        <v>2337</v>
      </c>
      <c r="B42" s="1368">
        <v>330</v>
      </c>
      <c r="C42" s="1369" t="s">
        <v>169</v>
      </c>
      <c r="D42" s="1369" t="s">
        <v>170</v>
      </c>
      <c r="E42" s="1370">
        <f>ROUND(305*(1-D86),2)</f>
        <v>305</v>
      </c>
      <c r="F42" s="1370">
        <f>ROUND(363*(1-D86),2)</f>
        <v>363</v>
      </c>
      <c r="G42" s="1370">
        <f>ROUND(389*(1-D86),2)</f>
        <v>389</v>
      </c>
      <c r="H42" s="1370">
        <f>ROUND(476*(1-D86),2)</f>
        <v>476</v>
      </c>
      <c r="I42" s="1370">
        <f>ROUND(408*(1-D86),2)</f>
        <v>408</v>
      </c>
      <c r="J42" s="1370">
        <f>ROUND(421*(1-D86),2)</f>
        <v>421</v>
      </c>
      <c r="K42" s="1370">
        <f>ROUND(461*(1-D86),2)</f>
        <v>461</v>
      </c>
      <c r="L42" s="1370">
        <f>ROUND(588*(1-D86),2)</f>
        <v>588</v>
      </c>
      <c r="M42" s="1370">
        <f>ROUND(636*(1-D86),2)</f>
        <v>636</v>
      </c>
      <c r="N42" s="1370">
        <f>ROUND(462*(1-D86),2)</f>
        <v>462</v>
      </c>
      <c r="O42" s="1370">
        <f>ROUND(535*(1-D86),2)</f>
        <v>535</v>
      </c>
      <c r="P42" s="1370">
        <f>ROUND(687*(1-D86),2)</f>
        <v>687</v>
      </c>
    </row>
    <row r="43" spans="1:17" s="1354" customFormat="1" ht="23.25" customHeight="1" x14ac:dyDescent="0.3">
      <c r="A43" s="1363" t="s">
        <v>252</v>
      </c>
      <c r="B43" s="1364">
        <v>355</v>
      </c>
      <c r="C43" s="1365" t="s">
        <v>169</v>
      </c>
      <c r="D43" s="1365" t="s">
        <v>170</v>
      </c>
      <c r="E43" s="1366">
        <f>ROUND(305*(1-D86),2)</f>
        <v>305</v>
      </c>
      <c r="F43" s="1366">
        <f>ROUND(363*(1-D86),2)</f>
        <v>363</v>
      </c>
      <c r="G43" s="1366">
        <f>ROUND(389*(1-D86),2)</f>
        <v>389</v>
      </c>
      <c r="H43" s="1366">
        <f>ROUND(476*(1-D86),2)</f>
        <v>476</v>
      </c>
      <c r="I43" s="1366">
        <f>ROUND(408*(1-D86),2)</f>
        <v>408</v>
      </c>
      <c r="J43" s="1366">
        <f>ROUND(421*(1-D86),2)</f>
        <v>421</v>
      </c>
      <c r="K43" s="1366">
        <f>ROUND(461*(1-D86),2)</f>
        <v>461</v>
      </c>
      <c r="L43" s="1366">
        <f>ROUND(588*(1-D86),2)</f>
        <v>588</v>
      </c>
      <c r="M43" s="1366">
        <f>ROUND(636*(1-D86),2)</f>
        <v>636</v>
      </c>
      <c r="N43" s="1366">
        <f>ROUND(462*(1-D86),2)</f>
        <v>462</v>
      </c>
      <c r="O43" s="1366">
        <f>ROUND(535*(1-D86),2)</f>
        <v>535</v>
      </c>
      <c r="P43" s="1366">
        <f>ROUND(687*(1-D86),2)</f>
        <v>687</v>
      </c>
    </row>
    <row r="44" spans="1:17" s="1354" customFormat="1" ht="23.25" customHeight="1" x14ac:dyDescent="0.3">
      <c r="A44" s="1367" t="s">
        <v>2336</v>
      </c>
      <c r="B44" s="1368">
        <v>380</v>
      </c>
      <c r="C44" s="1369" t="s">
        <v>169</v>
      </c>
      <c r="D44" s="1369" t="s">
        <v>170</v>
      </c>
      <c r="E44" s="1370">
        <f>ROUND(305*(1-D86),2)</f>
        <v>305</v>
      </c>
      <c r="F44" s="1370">
        <f>ROUND(363*(1-D86),2)</f>
        <v>363</v>
      </c>
      <c r="G44" s="1370">
        <f>ROUND(389*(1-D86),2)</f>
        <v>389</v>
      </c>
      <c r="H44" s="1370">
        <f>ROUND(476*(1-D86),2)</f>
        <v>476</v>
      </c>
      <c r="I44" s="1370">
        <f>ROUND(408*(1-D86),2)</f>
        <v>408</v>
      </c>
      <c r="J44" s="1370">
        <f>ROUND(421*(1-D86),2)</f>
        <v>421</v>
      </c>
      <c r="K44" s="1370">
        <f>ROUND(461*(1-D86),2)</f>
        <v>461</v>
      </c>
      <c r="L44" s="1370">
        <f>ROUND(588*(1-D86),2)</f>
        <v>588</v>
      </c>
      <c r="M44" s="1370">
        <f>ROUND(636*(1-D86),2)</f>
        <v>636</v>
      </c>
      <c r="N44" s="1370">
        <f>ROUND(462*(1-D86),2)</f>
        <v>462</v>
      </c>
      <c r="O44" s="1370">
        <f>ROUND(535*(1-D86),2)</f>
        <v>535</v>
      </c>
      <c r="P44" s="1370">
        <f>ROUND(687*(1-D86),2)</f>
        <v>687</v>
      </c>
    </row>
    <row r="45" spans="1:17" s="1354" customFormat="1" ht="23.25" customHeight="1" x14ac:dyDescent="0.3">
      <c r="A45" s="1363" t="s">
        <v>253</v>
      </c>
      <c r="B45" s="1364">
        <v>416</v>
      </c>
      <c r="C45" s="1365" t="s">
        <v>169</v>
      </c>
      <c r="D45" s="1365" t="s">
        <v>170</v>
      </c>
      <c r="E45" s="1366">
        <f>ROUND(305*(1-D86),2)</f>
        <v>305</v>
      </c>
      <c r="F45" s="1366">
        <f>ROUND(363*(1-D86),2)</f>
        <v>363</v>
      </c>
      <c r="G45" s="1366">
        <f>ROUND(389*(1-D86),2)</f>
        <v>389</v>
      </c>
      <c r="H45" s="1366">
        <f>ROUND(476*(1-D86),2)</f>
        <v>476</v>
      </c>
      <c r="I45" s="1366">
        <f>ROUND(408*(1-D86),2)</f>
        <v>408</v>
      </c>
      <c r="J45" s="1366">
        <f>ROUND(421*(1-D86),2)</f>
        <v>421</v>
      </c>
      <c r="K45" s="1366">
        <f>ROUND(461*(1-D86),2)</f>
        <v>461</v>
      </c>
      <c r="L45" s="1366">
        <f>ROUND(588*(1-D86),2)</f>
        <v>588</v>
      </c>
      <c r="M45" s="1366">
        <f>ROUND(636*(1-D86),2)</f>
        <v>636</v>
      </c>
      <c r="N45" s="1366">
        <f>ROUND(462*(1-D86),2)</f>
        <v>462</v>
      </c>
      <c r="O45" s="1366">
        <f>ROUND(535*(1-D86),2)</f>
        <v>535</v>
      </c>
      <c r="P45" s="1366">
        <f>ROUND(687*(1-D86),2)</f>
        <v>687</v>
      </c>
    </row>
    <row r="46" spans="1:17" s="1354" customFormat="1" ht="23.25" customHeight="1" x14ac:dyDescent="0.3">
      <c r="A46" s="1367" t="s">
        <v>254</v>
      </c>
      <c r="B46" s="1368">
        <v>370</v>
      </c>
      <c r="C46" s="1369" t="s">
        <v>169</v>
      </c>
      <c r="D46" s="1369" t="s">
        <v>170</v>
      </c>
      <c r="E46" s="1370">
        <f>ROUND(305*(1-D86),2)</f>
        <v>305</v>
      </c>
      <c r="F46" s="1370">
        <f>ROUND(363*(1-D86),2)</f>
        <v>363</v>
      </c>
      <c r="G46" s="1370">
        <f>ROUND(389*(1-D86),2)</f>
        <v>389</v>
      </c>
      <c r="H46" s="1370">
        <f>ROUND(476*(1-D86),2)</f>
        <v>476</v>
      </c>
      <c r="I46" s="1370">
        <f>ROUND(408*(1-D86),2)</f>
        <v>408</v>
      </c>
      <c r="J46" s="1370">
        <f>ROUND(421*(1-D86),2)</f>
        <v>421</v>
      </c>
      <c r="K46" s="1370">
        <f>ROUND(461*(1-D86),2)</f>
        <v>461</v>
      </c>
      <c r="L46" s="1370">
        <f>ROUND(588*(1-D86),2)</f>
        <v>588</v>
      </c>
      <c r="M46" s="1370">
        <f>ROUND(636*(1-D86),2)</f>
        <v>636</v>
      </c>
      <c r="N46" s="1370">
        <f>ROUND(462*(1-D86),2)</f>
        <v>462</v>
      </c>
      <c r="O46" s="1370">
        <f>ROUND(535*(1-D86),2)</f>
        <v>535</v>
      </c>
      <c r="P46" s="1370">
        <f>ROUND(687*(1-D86),2)</f>
        <v>687</v>
      </c>
    </row>
    <row r="47" spans="1:17" s="1354" customFormat="1" ht="23.25" customHeight="1" x14ac:dyDescent="0.3">
      <c r="A47" s="1371" t="s">
        <v>255</v>
      </c>
      <c r="B47" s="1372">
        <v>416</v>
      </c>
      <c r="C47" s="1373" t="s">
        <v>169</v>
      </c>
      <c r="D47" s="1373" t="s">
        <v>170</v>
      </c>
      <c r="E47" s="1374">
        <f>ROUND(305*(1-D86),2)</f>
        <v>305</v>
      </c>
      <c r="F47" s="1374">
        <f>ROUND(363*(1-D86),2)</f>
        <v>363</v>
      </c>
      <c r="G47" s="1374">
        <f>ROUND(389*(1-D86),2)</f>
        <v>389</v>
      </c>
      <c r="H47" s="1374">
        <f>ROUND(476*(1-D86),2)</f>
        <v>476</v>
      </c>
      <c r="I47" s="1374">
        <f>ROUND(408*(1-D86),2)</f>
        <v>408</v>
      </c>
      <c r="J47" s="1374">
        <f>ROUND(421*(1-D86),2)</f>
        <v>421</v>
      </c>
      <c r="K47" s="1374">
        <f>ROUND(461*(1-D86),2)</f>
        <v>461</v>
      </c>
      <c r="L47" s="1374">
        <f>ROUND(588*(1-D86),2)</f>
        <v>588</v>
      </c>
      <c r="M47" s="1374">
        <f>ROUND(636*(1-D86),2)</f>
        <v>636</v>
      </c>
      <c r="N47" s="1374">
        <f>ROUND(462*(1-D86),2)</f>
        <v>462</v>
      </c>
      <c r="O47" s="1374">
        <f>ROUND(535*(1-D86),2)</f>
        <v>535</v>
      </c>
      <c r="P47" s="1374">
        <f>ROUND(687*(1-D86),2)</f>
        <v>687</v>
      </c>
    </row>
    <row r="48" spans="1:17" ht="23.25" customHeight="1" x14ac:dyDescent="0.3">
      <c r="A48" s="2995" t="s">
        <v>256</v>
      </c>
      <c r="B48" s="2996"/>
      <c r="C48" s="2996"/>
      <c r="D48" s="2996"/>
      <c r="E48" s="2996"/>
      <c r="F48" s="2996"/>
      <c r="G48" s="2996"/>
      <c r="H48" s="2996"/>
      <c r="I48" s="2996"/>
      <c r="J48" s="2996"/>
      <c r="K48" s="2996"/>
      <c r="L48" s="2996"/>
      <c r="M48" s="2996"/>
      <c r="N48" s="2996"/>
      <c r="O48" s="2996"/>
      <c r="P48" s="2997"/>
      <c r="Q48" s="105"/>
    </row>
    <row r="49" spans="1:17" s="1354" customFormat="1" ht="23.25" customHeight="1" x14ac:dyDescent="0.3">
      <c r="A49" s="1404" t="s">
        <v>257</v>
      </c>
      <c r="B49" s="1351">
        <v>113</v>
      </c>
      <c r="C49" s="1352" t="s">
        <v>169</v>
      </c>
      <c r="D49" s="1352" t="s">
        <v>170</v>
      </c>
      <c r="E49" s="1330" t="s">
        <v>17</v>
      </c>
      <c r="F49" s="1328">
        <f>ROUND(109*(1-D86),2)</f>
        <v>109</v>
      </c>
      <c r="G49" s="1328" t="s">
        <v>17</v>
      </c>
      <c r="H49" s="1328">
        <f>ROUND(140*(1-D86),2)</f>
        <v>140</v>
      </c>
      <c r="I49" s="1328">
        <f>ROUND(122*(1-D86),2)</f>
        <v>122</v>
      </c>
      <c r="J49" s="1328" t="s">
        <v>17</v>
      </c>
      <c r="K49" s="1328">
        <f>ROUND(136*(1-D86),2)</f>
        <v>136</v>
      </c>
      <c r="L49" s="1328">
        <f>ROUND(171*(1-D86),2)</f>
        <v>171</v>
      </c>
      <c r="M49" s="1328" t="s">
        <v>17</v>
      </c>
      <c r="N49" s="1328">
        <f>ROUND(136*(1-D86),2)</f>
        <v>136</v>
      </c>
      <c r="O49" s="1328">
        <f>ROUND(156*(1-D86),2)</f>
        <v>156</v>
      </c>
      <c r="P49" s="1328">
        <f>ROUND(198*(1-D86),2)</f>
        <v>198</v>
      </c>
    </row>
    <row r="50" spans="1:17" s="1354" customFormat="1" ht="23.25" customHeight="1" x14ac:dyDescent="0.3">
      <c r="A50" s="1405" t="s">
        <v>258</v>
      </c>
      <c r="B50" s="1356">
        <v>113</v>
      </c>
      <c r="C50" s="1357" t="s">
        <v>169</v>
      </c>
      <c r="D50" s="1357" t="s">
        <v>170</v>
      </c>
      <c r="E50" s="1406" t="s">
        <v>17</v>
      </c>
      <c r="F50" s="1358">
        <f>ROUND(109*(1-D86),2)</f>
        <v>109</v>
      </c>
      <c r="G50" s="1358" t="s">
        <v>17</v>
      </c>
      <c r="H50" s="1358">
        <f>ROUND(140*(1-D86),2)</f>
        <v>140</v>
      </c>
      <c r="I50" s="1358">
        <f>ROUND(122*(1-D86),2)</f>
        <v>122</v>
      </c>
      <c r="J50" s="1358" t="s">
        <v>17</v>
      </c>
      <c r="K50" s="1358">
        <f>ROUND(136*(1-D86),2)</f>
        <v>136</v>
      </c>
      <c r="L50" s="1358">
        <f>ROUND(171*(1-D86),2)</f>
        <v>171</v>
      </c>
      <c r="M50" s="1358" t="s">
        <v>17</v>
      </c>
      <c r="N50" s="1358">
        <f>ROUND(136*(1-D86),2)</f>
        <v>136</v>
      </c>
      <c r="O50" s="1358">
        <f>ROUND(156*(1-D86),2)</f>
        <v>156</v>
      </c>
      <c r="P50" s="1358">
        <f>ROUND(198*(1-D86),2)</f>
        <v>198</v>
      </c>
    </row>
    <row r="51" spans="1:17" s="1354" customFormat="1" ht="23.25" customHeight="1" x14ac:dyDescent="0.3">
      <c r="A51" s="1407" t="s">
        <v>259</v>
      </c>
      <c r="B51" s="1360">
        <v>170</v>
      </c>
      <c r="C51" s="1361" t="s">
        <v>169</v>
      </c>
      <c r="D51" s="1361" t="s">
        <v>170</v>
      </c>
      <c r="E51" s="1408" t="s">
        <v>17</v>
      </c>
      <c r="F51" s="1323">
        <f>ROUND(164*(1-D86),2)</f>
        <v>164</v>
      </c>
      <c r="G51" s="1323" t="s">
        <v>17</v>
      </c>
      <c r="H51" s="1323">
        <f>ROUND(212*(1-D86),2)</f>
        <v>212</v>
      </c>
      <c r="I51" s="1323">
        <f>ROUND(183*(1-D86),2)</f>
        <v>183</v>
      </c>
      <c r="J51" s="1323" t="s">
        <v>17</v>
      </c>
      <c r="K51" s="1323">
        <f>ROUND(206*(1-D86),2)</f>
        <v>206</v>
      </c>
      <c r="L51" s="1323">
        <f>ROUND(260*(1-D86),2)</f>
        <v>260</v>
      </c>
      <c r="M51" s="1323" t="s">
        <v>17</v>
      </c>
      <c r="N51" s="1323">
        <f>ROUND(206*(1-D86),2)</f>
        <v>206</v>
      </c>
      <c r="O51" s="1323">
        <f>ROUND(237*(1-D86),2)</f>
        <v>237</v>
      </c>
      <c r="P51" s="1323">
        <f>ROUND(302*(1-D86),2)</f>
        <v>302</v>
      </c>
    </row>
    <row r="52" spans="1:17" s="1354" customFormat="1" ht="23.25" customHeight="1" x14ac:dyDescent="0.3">
      <c r="A52" s="1409" t="s">
        <v>260</v>
      </c>
      <c r="B52" s="1372">
        <v>110</v>
      </c>
      <c r="C52" s="1373" t="s">
        <v>169</v>
      </c>
      <c r="D52" s="1373" t="s">
        <v>170</v>
      </c>
      <c r="E52" s="1410" t="s">
        <v>17</v>
      </c>
      <c r="F52" s="1374">
        <f>ROUND(109*(1-D86),2)</f>
        <v>109</v>
      </c>
      <c r="G52" s="1374" t="s">
        <v>17</v>
      </c>
      <c r="H52" s="1374">
        <f>ROUND(140*(1-D86),2)</f>
        <v>140</v>
      </c>
      <c r="I52" s="1374">
        <f>ROUND(122*(1-D86),2)</f>
        <v>122</v>
      </c>
      <c r="J52" s="1374" t="s">
        <v>17</v>
      </c>
      <c r="K52" s="1374">
        <f>ROUND(136*(1-D86),2)</f>
        <v>136</v>
      </c>
      <c r="L52" s="1374">
        <f>ROUND(171*(1-D86),2)</f>
        <v>171</v>
      </c>
      <c r="M52" s="1422" t="s">
        <v>17</v>
      </c>
      <c r="N52" s="1374">
        <f>ROUND(136*(1-D86),2)</f>
        <v>136</v>
      </c>
      <c r="O52" s="1374">
        <f>ROUND(156*(1-D86),2)</f>
        <v>156</v>
      </c>
      <c r="P52" s="1374">
        <f>ROUND(198*(1-D86),2)</f>
        <v>198</v>
      </c>
    </row>
    <row r="53" spans="1:17" s="1354" customFormat="1" ht="23.25" customHeight="1" x14ac:dyDescent="0.3">
      <c r="A53" s="1407" t="s">
        <v>261</v>
      </c>
      <c r="B53" s="1360">
        <v>240</v>
      </c>
      <c r="C53" s="1361" t="s">
        <v>169</v>
      </c>
      <c r="D53" s="1361" t="s">
        <v>170</v>
      </c>
      <c r="E53" s="1408" t="s">
        <v>17</v>
      </c>
      <c r="F53" s="1323">
        <f>ROUND(223*(1-D86),2)</f>
        <v>223</v>
      </c>
      <c r="G53" s="1323" t="s">
        <v>17</v>
      </c>
      <c r="H53" s="1323">
        <f>ROUND(291*(1-D86),2)</f>
        <v>291</v>
      </c>
      <c r="I53" s="1323">
        <f>ROUND(251*(1-D86),2)</f>
        <v>251</v>
      </c>
      <c r="J53" s="1323" t="s">
        <v>17</v>
      </c>
      <c r="K53" s="1323">
        <f>ROUND(282*(1-D86),2)</f>
        <v>282</v>
      </c>
      <c r="L53" s="1323">
        <f>ROUND(358*(1-D86),2)</f>
        <v>358</v>
      </c>
      <c r="M53" s="1930" t="s">
        <v>17</v>
      </c>
      <c r="N53" s="1323">
        <f>ROUND(283*(1-D86),2)</f>
        <v>283</v>
      </c>
      <c r="O53" s="1323">
        <f>ROUND(327*(1-D86),2)</f>
        <v>327</v>
      </c>
      <c r="P53" s="1323">
        <f>ROUND(418*(1-D86),2)</f>
        <v>418</v>
      </c>
    </row>
    <row r="54" spans="1:17" s="1354" customFormat="1" ht="23.25" customHeight="1" x14ac:dyDescent="0.3">
      <c r="A54" s="1411" t="s">
        <v>262</v>
      </c>
      <c r="B54" s="1364">
        <v>140</v>
      </c>
      <c r="C54" s="1365" t="s">
        <v>169</v>
      </c>
      <c r="D54" s="1365" t="s">
        <v>170</v>
      </c>
      <c r="E54" s="1412" t="s">
        <v>17</v>
      </c>
      <c r="F54" s="1366">
        <f>ROUND(145*(1-D86),2)</f>
        <v>145</v>
      </c>
      <c r="G54" s="1366" t="s">
        <v>17</v>
      </c>
      <c r="H54" s="1366">
        <f>ROUND(187*(1-D86),2)</f>
        <v>187</v>
      </c>
      <c r="I54" s="1366">
        <f>ROUND(162*(1-D86),2)</f>
        <v>162</v>
      </c>
      <c r="J54" s="1366" t="s">
        <v>17</v>
      </c>
      <c r="K54" s="1366">
        <f>ROUND(182*(1-D86),2)</f>
        <v>182</v>
      </c>
      <c r="L54" s="1366">
        <f>ROUND(229*(1-D86),2)</f>
        <v>229</v>
      </c>
      <c r="M54" s="1366" t="s">
        <v>17</v>
      </c>
      <c r="N54" s="1366">
        <f>ROUND(182*(1-D86),2)</f>
        <v>182</v>
      </c>
      <c r="O54" s="1366">
        <f>ROUND(209*(1-D86),2)</f>
        <v>209</v>
      </c>
      <c r="P54" s="1366">
        <f>ROUND(266*(1-D86),2)</f>
        <v>266</v>
      </c>
    </row>
    <row r="55" spans="1:17" s="1354" customFormat="1" ht="23.25" customHeight="1" x14ac:dyDescent="0.3">
      <c r="A55" s="1413" t="s">
        <v>263</v>
      </c>
      <c r="B55" s="1368">
        <v>160</v>
      </c>
      <c r="C55" s="1369" t="s">
        <v>169</v>
      </c>
      <c r="D55" s="1369" t="s">
        <v>170</v>
      </c>
      <c r="E55" s="1320" t="s">
        <v>17</v>
      </c>
      <c r="F55" s="1314">
        <f>ROUND(164*(1-D86),2)</f>
        <v>164</v>
      </c>
      <c r="G55" s="1314" t="s">
        <v>17</v>
      </c>
      <c r="H55" s="1314">
        <f>ROUND(212*(1-D86),2)</f>
        <v>212</v>
      </c>
      <c r="I55" s="1314">
        <f>ROUND(183*(1-D86),2)</f>
        <v>183</v>
      </c>
      <c r="J55" s="1314" t="s">
        <v>17</v>
      </c>
      <c r="K55" s="1314">
        <f>ROUND(206*(1-D86),2)</f>
        <v>206</v>
      </c>
      <c r="L55" s="1314">
        <f>ROUND(260*(1-D86),2)</f>
        <v>260</v>
      </c>
      <c r="M55" s="1930" t="s">
        <v>17</v>
      </c>
      <c r="N55" s="1314">
        <f>ROUND(206*(1-D86),2)</f>
        <v>206</v>
      </c>
      <c r="O55" s="1314">
        <f>ROUND(237*(1-D86),2)</f>
        <v>237</v>
      </c>
      <c r="P55" s="1314">
        <f>ROUND(302*(1-D86),2)</f>
        <v>302</v>
      </c>
    </row>
    <row r="56" spans="1:17" s="1354" customFormat="1" ht="23.25" customHeight="1" x14ac:dyDescent="0.3">
      <c r="A56" s="1409" t="s">
        <v>264</v>
      </c>
      <c r="B56" s="1372">
        <v>160</v>
      </c>
      <c r="C56" s="1373" t="s">
        <v>169</v>
      </c>
      <c r="D56" s="1373" t="s">
        <v>170</v>
      </c>
      <c r="E56" s="1410" t="s">
        <v>17</v>
      </c>
      <c r="F56" s="1374">
        <f>ROUND(164*(1-D86),2)</f>
        <v>164</v>
      </c>
      <c r="G56" s="1374" t="s">
        <v>17</v>
      </c>
      <c r="H56" s="1374">
        <f>ROUND(212*(1-D86),2)</f>
        <v>212</v>
      </c>
      <c r="I56" s="1374">
        <f>ROUND(183*(1-D86),2)</f>
        <v>183</v>
      </c>
      <c r="J56" s="1374" t="s">
        <v>17</v>
      </c>
      <c r="K56" s="1374">
        <f>ROUND(206*(1-D86),2)</f>
        <v>206</v>
      </c>
      <c r="L56" s="1374">
        <f>ROUND(260*(1-D86),2)</f>
        <v>260</v>
      </c>
      <c r="M56" s="1374" t="s">
        <v>17</v>
      </c>
      <c r="N56" s="1374">
        <f>ROUND(206*(1-D86),2)</f>
        <v>206</v>
      </c>
      <c r="O56" s="1374">
        <f>ROUND(237*(1-D86),2)</f>
        <v>237</v>
      </c>
      <c r="P56" s="1374">
        <f>ROUND(302*(1-D86),2)</f>
        <v>302</v>
      </c>
    </row>
    <row r="57" spans="1:17" ht="23.25" customHeight="1" x14ac:dyDescent="0.3">
      <c r="A57" s="2995" t="s">
        <v>265</v>
      </c>
      <c r="B57" s="2996"/>
      <c r="C57" s="2996"/>
      <c r="D57" s="2996"/>
      <c r="E57" s="2996"/>
      <c r="F57" s="2996"/>
      <c r="G57" s="2996"/>
      <c r="H57" s="2996"/>
      <c r="I57" s="2996"/>
      <c r="J57" s="2996"/>
      <c r="K57" s="2996"/>
      <c r="L57" s="2996"/>
      <c r="M57" s="2996"/>
      <c r="N57" s="2996"/>
      <c r="O57" s="2996"/>
      <c r="P57" s="2997"/>
      <c r="Q57" s="105"/>
    </row>
    <row r="58" spans="1:17" s="1354" customFormat="1" ht="23.25" customHeight="1" x14ac:dyDescent="0.3">
      <c r="A58" s="1350" t="s">
        <v>266</v>
      </c>
      <c r="B58" s="1351">
        <v>113</v>
      </c>
      <c r="C58" s="1414" t="s">
        <v>169</v>
      </c>
      <c r="D58" s="1352" t="s">
        <v>170</v>
      </c>
      <c r="E58" s="1330" t="s">
        <v>17</v>
      </c>
      <c r="F58" s="1328">
        <f>ROUND(109*(1-D86),2)</f>
        <v>109</v>
      </c>
      <c r="G58" s="1328" t="s">
        <v>17</v>
      </c>
      <c r="H58" s="1328">
        <f>ROUND(140*(1-D86),2)</f>
        <v>140</v>
      </c>
      <c r="I58" s="1328">
        <f>ROUND(122*(1-D86),2)</f>
        <v>122</v>
      </c>
      <c r="J58" s="1328">
        <f>ROUND(125*(1-D86),2)</f>
        <v>125</v>
      </c>
      <c r="K58" s="1328">
        <f>ROUND(136*(1-D86),2)</f>
        <v>136</v>
      </c>
      <c r="L58" s="1328">
        <f>ROUND(171*(1-D86),2)</f>
        <v>171</v>
      </c>
      <c r="M58" s="1328" t="s">
        <v>17</v>
      </c>
      <c r="N58" s="1328">
        <f>ROUND(136*(1-D86),2)</f>
        <v>136</v>
      </c>
      <c r="O58" s="1328">
        <f>ROUND(156*(1-D86),2)</f>
        <v>156</v>
      </c>
      <c r="P58" s="1328">
        <f>ROUND(198*(1-D86),2)</f>
        <v>198</v>
      </c>
    </row>
    <row r="59" spans="1:17" s="1354" customFormat="1" ht="23.25" customHeight="1" x14ac:dyDescent="0.3">
      <c r="A59" s="1355" t="s">
        <v>267</v>
      </c>
      <c r="B59" s="1356">
        <v>113</v>
      </c>
      <c r="C59" s="1415" t="s">
        <v>169</v>
      </c>
      <c r="D59" s="1357" t="s">
        <v>170</v>
      </c>
      <c r="E59" s="1406" t="s">
        <v>17</v>
      </c>
      <c r="F59" s="1358">
        <f>ROUND(109*(1-D86),2)</f>
        <v>109</v>
      </c>
      <c r="G59" s="1358" t="s">
        <v>17</v>
      </c>
      <c r="H59" s="1358">
        <f>ROUND(140*(1-D86),2)</f>
        <v>140</v>
      </c>
      <c r="I59" s="1358">
        <f>ROUND(122*(1-D86),2)</f>
        <v>122</v>
      </c>
      <c r="J59" s="1358">
        <f>ROUND(125*(1-D86),2)</f>
        <v>125</v>
      </c>
      <c r="K59" s="1358">
        <f>ROUND(136*(1-D86),2)</f>
        <v>136</v>
      </c>
      <c r="L59" s="1358">
        <f>ROUND(171*(1-D86),2)</f>
        <v>171</v>
      </c>
      <c r="M59" s="1358" t="s">
        <v>17</v>
      </c>
      <c r="N59" s="1358">
        <f>ROUND(136*(1-D86),2)</f>
        <v>136</v>
      </c>
      <c r="O59" s="1358">
        <f>ROUND(156*(1-D86),2)</f>
        <v>156</v>
      </c>
      <c r="P59" s="1358">
        <f>ROUND(198*(1-D86),2)</f>
        <v>198</v>
      </c>
    </row>
    <row r="60" spans="1:17" s="1354" customFormat="1" ht="23.25" customHeight="1" x14ac:dyDescent="0.3">
      <c r="A60" s="1375" t="s">
        <v>268</v>
      </c>
      <c r="B60" s="1376">
        <v>207</v>
      </c>
      <c r="C60" s="1416" t="s">
        <v>169</v>
      </c>
      <c r="D60" s="1377" t="s">
        <v>170</v>
      </c>
      <c r="E60" s="1902" t="s">
        <v>17</v>
      </c>
      <c r="F60" s="1900">
        <f>ROUND(188*(1-D86),2)</f>
        <v>188</v>
      </c>
      <c r="G60" s="1900" t="s">
        <v>17</v>
      </c>
      <c r="H60" s="2346">
        <f>ROUND(245*(1-D86),2)</f>
        <v>245</v>
      </c>
      <c r="I60" s="1900">
        <f>ROUND(211*(1-D86),2)</f>
        <v>211</v>
      </c>
      <c r="J60" s="1900">
        <f>ROUND(217*(1-D86),2)</f>
        <v>217</v>
      </c>
      <c r="K60" s="1900">
        <f>ROUND(238*(1-D86),2)</f>
        <v>238</v>
      </c>
      <c r="L60" s="1900">
        <f>ROUND(301*(1-D86),2)</f>
        <v>301</v>
      </c>
      <c r="M60" s="2093" t="s">
        <v>17</v>
      </c>
      <c r="N60" s="1900">
        <f>ROUND(238*(1-D86),2)</f>
        <v>238</v>
      </c>
      <c r="O60" s="2093">
        <f>ROUND(275*(1-D86),2)</f>
        <v>275</v>
      </c>
      <c r="P60" s="1900">
        <f>ROUND(350*(1-D86),2)</f>
        <v>350</v>
      </c>
    </row>
    <row r="61" spans="1:17" s="1354" customFormat="1" ht="23.25" customHeight="1" x14ac:dyDescent="0.3">
      <c r="A61" s="1417" t="s">
        <v>269</v>
      </c>
      <c r="B61" s="1418">
        <v>312</v>
      </c>
      <c r="C61" s="1419" t="s">
        <v>169</v>
      </c>
      <c r="D61" s="1420" t="s">
        <v>170</v>
      </c>
      <c r="E61" s="1421" t="s">
        <v>17</v>
      </c>
      <c r="F61" s="1422">
        <f>ROUND(275*(1-D86),2)</f>
        <v>275</v>
      </c>
      <c r="G61" s="1422" t="s">
        <v>17</v>
      </c>
      <c r="H61" s="1422">
        <f>ROUND(360*(1-D86),2)</f>
        <v>360</v>
      </c>
      <c r="I61" s="1422">
        <f>ROUND(310*(1-D86),2)</f>
        <v>310</v>
      </c>
      <c r="J61" s="1422">
        <f>ROUND(319*(1-D86),2)</f>
        <v>319</v>
      </c>
      <c r="K61" s="1422">
        <f>ROUND(349*(1-D86),2)</f>
        <v>349</v>
      </c>
      <c r="L61" s="1422">
        <f>ROUND(444*(1-D86),2)</f>
        <v>444</v>
      </c>
      <c r="M61" s="1422" t="s">
        <v>17</v>
      </c>
      <c r="N61" s="1422">
        <f>ROUND(350*(1-D86),2)</f>
        <v>350</v>
      </c>
      <c r="O61" s="1422">
        <f>ROUND(405*(1-D86),2)</f>
        <v>405</v>
      </c>
      <c r="P61" s="1422">
        <f>ROUND(519*(1-D86),2)</f>
        <v>519</v>
      </c>
    </row>
    <row r="62" spans="1:17" s="1354" customFormat="1" ht="23.25" customHeight="1" x14ac:dyDescent="0.3">
      <c r="A62" s="1375" t="s">
        <v>270</v>
      </c>
      <c r="B62" s="1376">
        <v>207</v>
      </c>
      <c r="C62" s="1416" t="s">
        <v>169</v>
      </c>
      <c r="D62" s="1377" t="s">
        <v>170</v>
      </c>
      <c r="E62" s="1902" t="s">
        <v>17</v>
      </c>
      <c r="F62" s="1900">
        <f>ROUND(188*(1-D86),2)</f>
        <v>188</v>
      </c>
      <c r="G62" s="1900" t="s">
        <v>17</v>
      </c>
      <c r="H62" s="2346">
        <f>ROUND(245*(1-D86),2)</f>
        <v>245</v>
      </c>
      <c r="I62" s="1900">
        <f>ROUND(211*(1-D86),2)</f>
        <v>211</v>
      </c>
      <c r="J62" s="1900">
        <f>ROUND(217*(1-D86),2)</f>
        <v>217</v>
      </c>
      <c r="K62" s="1900">
        <f>ROUND(238*(1-D86),2)</f>
        <v>238</v>
      </c>
      <c r="L62" s="1900">
        <f>ROUND(301*(1-D86),2)</f>
        <v>301</v>
      </c>
      <c r="M62" s="2093" t="s">
        <v>17</v>
      </c>
      <c r="N62" s="1900">
        <f>ROUND(238*(1-D86),2)</f>
        <v>238</v>
      </c>
      <c r="O62" s="2093">
        <f>ROUND(275*(1-D86),2)</f>
        <v>275</v>
      </c>
      <c r="P62" s="1900">
        <f>ROUND(350*(1-D86),2)</f>
        <v>350</v>
      </c>
    </row>
    <row r="63" spans="1:17" ht="23.25" customHeight="1" x14ac:dyDescent="0.3">
      <c r="A63" s="2998"/>
      <c r="B63" s="2998"/>
      <c r="C63" s="2998"/>
      <c r="D63" s="2998"/>
      <c r="E63" s="2998"/>
      <c r="F63" s="2998"/>
      <c r="G63" s="2998"/>
      <c r="H63" s="2998"/>
      <c r="I63" s="2998"/>
      <c r="J63" s="2998"/>
      <c r="K63" s="2998"/>
      <c r="L63" s="2998"/>
      <c r="M63" s="2998"/>
      <c r="N63" s="2998"/>
      <c r="O63" s="2998"/>
      <c r="P63" s="2998"/>
      <c r="Q63" s="92"/>
    </row>
    <row r="64" spans="1:17" ht="23.25" customHeight="1" x14ac:dyDescent="0.3">
      <c r="A64" s="1423" t="s">
        <v>271</v>
      </c>
      <c r="B64" s="1424"/>
      <c r="C64" s="1425" t="s">
        <v>169</v>
      </c>
      <c r="D64" s="1911" t="s">
        <v>272</v>
      </c>
      <c r="E64" s="2986" t="s">
        <v>273</v>
      </c>
      <c r="F64" s="2986"/>
      <c r="G64" s="2986"/>
      <c r="H64" s="2986"/>
      <c r="I64" s="2986"/>
      <c r="J64" s="2986"/>
      <c r="K64" s="2986"/>
      <c r="L64" s="2986"/>
      <c r="M64" s="2986"/>
      <c r="N64" s="2986"/>
      <c r="O64" s="2986"/>
      <c r="P64" s="2986"/>
      <c r="Q64" s="92"/>
    </row>
    <row r="65" spans="1:17" ht="15.75" customHeight="1" x14ac:dyDescent="0.3">
      <c r="A65" s="1426"/>
      <c r="B65" s="1426"/>
      <c r="C65" s="1426"/>
      <c r="D65" s="1426"/>
      <c r="E65" s="111"/>
      <c r="F65" s="111"/>
      <c r="G65" s="111"/>
      <c r="H65" s="111"/>
      <c r="I65" s="111"/>
      <c r="J65" s="111"/>
      <c r="K65" s="111"/>
      <c r="L65" s="111"/>
      <c r="M65" s="111"/>
      <c r="N65" s="111"/>
      <c r="O65" s="111"/>
      <c r="P65" s="111"/>
      <c r="Q65" s="92"/>
    </row>
    <row r="66" spans="1:17" ht="23.25" customHeight="1" x14ac:dyDescent="0.3">
      <c r="A66" s="3000" t="s">
        <v>274</v>
      </c>
      <c r="B66" s="3001"/>
      <c r="C66" s="3001"/>
      <c r="D66" s="3001"/>
      <c r="E66" s="3001"/>
      <c r="F66" s="3001"/>
      <c r="G66" s="2348"/>
      <c r="H66" s="2348"/>
      <c r="I66" s="1451"/>
      <c r="J66" s="1427"/>
      <c r="K66" s="2982" t="s">
        <v>218</v>
      </c>
      <c r="L66" s="2982"/>
      <c r="M66" s="2982"/>
      <c r="N66" s="2982"/>
      <c r="O66" s="2982"/>
      <c r="P66" s="2982"/>
      <c r="Q66" s="114"/>
    </row>
    <row r="67" spans="1:17" ht="23.25" customHeight="1" x14ac:dyDescent="0.3">
      <c r="A67" s="3002" t="s">
        <v>159</v>
      </c>
      <c r="B67" s="3003"/>
      <c r="C67" s="2305" t="s">
        <v>275</v>
      </c>
      <c r="D67" s="3000" t="s">
        <v>276</v>
      </c>
      <c r="E67" s="3001"/>
      <c r="F67" s="3001"/>
      <c r="G67" s="3001"/>
      <c r="H67" s="3001"/>
      <c r="I67" s="3004"/>
      <c r="J67" s="1427"/>
      <c r="K67" s="3005" t="s">
        <v>219</v>
      </c>
      <c r="L67" s="3005"/>
      <c r="M67" s="3005"/>
      <c r="N67" s="3005"/>
      <c r="O67" s="3005"/>
      <c r="P67" s="3005"/>
      <c r="Q67" s="92"/>
    </row>
    <row r="68" spans="1:17" ht="23.25" customHeight="1" x14ac:dyDescent="0.3">
      <c r="A68" s="3006" t="s">
        <v>277</v>
      </c>
      <c r="B68" s="3006"/>
      <c r="C68" s="1452" t="s">
        <v>107</v>
      </c>
      <c r="D68" s="3007">
        <f>ROUND(16.9*(1-F86),2)</f>
        <v>16.899999999999999</v>
      </c>
      <c r="E68" s="3008"/>
      <c r="F68" s="3008"/>
      <c r="G68" s="3008"/>
      <c r="H68" s="3008"/>
      <c r="I68" s="3009"/>
      <c r="J68" s="1428"/>
      <c r="K68" s="3005"/>
      <c r="L68" s="3005"/>
      <c r="M68" s="3005"/>
      <c r="N68" s="3005"/>
      <c r="O68" s="3005"/>
      <c r="P68" s="3005"/>
      <c r="Q68" s="114"/>
    </row>
    <row r="69" spans="1:17" ht="23.25" customHeight="1" x14ac:dyDescent="0.3">
      <c r="A69" s="3006" t="s">
        <v>278</v>
      </c>
      <c r="B69" s="3006"/>
      <c r="C69" s="1452" t="s">
        <v>107</v>
      </c>
      <c r="D69" s="3010">
        <f>ROUND(18.8*(1-F86),2)</f>
        <v>18.8</v>
      </c>
      <c r="E69" s="3011"/>
      <c r="F69" s="3011"/>
      <c r="G69" s="3011"/>
      <c r="H69" s="3011"/>
      <c r="I69" s="3012"/>
      <c r="J69" s="1428"/>
      <c r="K69" s="3013" t="s">
        <v>220</v>
      </c>
      <c r="L69" s="3013"/>
      <c r="M69" s="3013"/>
      <c r="N69" s="3013"/>
      <c r="O69" s="3013"/>
      <c r="P69" s="3013"/>
      <c r="Q69" s="114"/>
    </row>
    <row r="70" spans="1:17" ht="23.25" customHeight="1" x14ac:dyDescent="0.3">
      <c r="A70" s="3006" t="s">
        <v>3366</v>
      </c>
      <c r="B70" s="3006"/>
      <c r="C70" s="1452" t="s">
        <v>107</v>
      </c>
      <c r="D70" s="3010">
        <f>ROUND(18.8*(1-F86),2)</f>
        <v>18.8</v>
      </c>
      <c r="E70" s="3011"/>
      <c r="F70" s="3011"/>
      <c r="G70" s="3011"/>
      <c r="H70" s="3011"/>
      <c r="I70" s="3012"/>
      <c r="J70" s="1428"/>
      <c r="K70" s="3013"/>
      <c r="L70" s="3013"/>
      <c r="M70" s="3013"/>
      <c r="N70" s="3013"/>
      <c r="O70" s="3013"/>
      <c r="P70" s="3013"/>
      <c r="Q70" s="114"/>
    </row>
    <row r="71" spans="1:17" s="1430" customFormat="1" ht="20.25" customHeight="1" x14ac:dyDescent="0.3">
      <c r="A71" s="3006" t="s">
        <v>279</v>
      </c>
      <c r="B71" s="3006"/>
      <c r="C71" s="1452" t="s">
        <v>107</v>
      </c>
      <c r="D71" s="3010">
        <f>ROUND(17.5*(1-F86),2)</f>
        <v>17.5</v>
      </c>
      <c r="E71" s="3011"/>
      <c r="F71" s="3011"/>
      <c r="G71" s="3011"/>
      <c r="H71" s="3011"/>
      <c r="I71" s="3012"/>
      <c r="J71" s="1428"/>
      <c r="K71" s="3013" t="s">
        <v>221</v>
      </c>
      <c r="L71" s="3013"/>
      <c r="M71" s="3013"/>
      <c r="N71" s="3013"/>
      <c r="O71" s="3013"/>
      <c r="P71" s="3013"/>
      <c r="Q71" s="1429"/>
    </row>
    <row r="72" spans="1:17" s="1430" customFormat="1" ht="20.25" customHeight="1" x14ac:dyDescent="0.3">
      <c r="A72" s="3006" t="s">
        <v>3367</v>
      </c>
      <c r="B72" s="3006"/>
      <c r="C72" s="1452" t="s">
        <v>107</v>
      </c>
      <c r="D72" s="3010">
        <f>ROUND(17.5*(1-F86),2)</f>
        <v>17.5</v>
      </c>
      <c r="E72" s="3011"/>
      <c r="F72" s="3011"/>
      <c r="G72" s="3011"/>
      <c r="H72" s="3011"/>
      <c r="I72" s="3012"/>
      <c r="J72" s="1428"/>
      <c r="K72" s="3013"/>
      <c r="L72" s="3013"/>
      <c r="M72" s="3013"/>
      <c r="N72" s="3013"/>
      <c r="O72" s="3013"/>
      <c r="P72" s="3013"/>
      <c r="Q72" s="1429"/>
    </row>
    <row r="73" spans="1:17" s="1430" customFormat="1" ht="20.25" customHeight="1" x14ac:dyDescent="0.3">
      <c r="A73" s="3015" t="s">
        <v>3368</v>
      </c>
      <c r="B73" s="3016"/>
      <c r="C73" s="1452" t="s">
        <v>107</v>
      </c>
      <c r="D73" s="3007">
        <v>7.5</v>
      </c>
      <c r="E73" s="3008"/>
      <c r="F73" s="3008"/>
      <c r="G73" s="3008"/>
      <c r="H73" s="3008"/>
      <c r="I73" s="3009"/>
      <c r="J73" s="1428"/>
      <c r="K73" s="3013" t="s">
        <v>222</v>
      </c>
      <c r="L73" s="3013"/>
      <c r="M73" s="3013"/>
      <c r="N73" s="3013"/>
      <c r="O73" s="3013"/>
      <c r="P73" s="3013"/>
      <c r="Q73" s="1429"/>
    </row>
    <row r="74" spans="1:17" s="1430" customFormat="1" ht="20.25" customHeight="1" x14ac:dyDescent="0.3">
      <c r="A74" s="3015" t="s">
        <v>3374</v>
      </c>
      <c r="B74" s="3016"/>
      <c r="C74" s="1452" t="s">
        <v>107</v>
      </c>
      <c r="D74" s="3010">
        <v>10.5</v>
      </c>
      <c r="E74" s="3011"/>
      <c r="F74" s="3011"/>
      <c r="G74" s="3011"/>
      <c r="H74" s="3011"/>
      <c r="I74" s="3012"/>
      <c r="J74" s="1429"/>
      <c r="K74" s="3013"/>
      <c r="L74" s="3013"/>
      <c r="M74" s="3013"/>
      <c r="N74" s="3013"/>
      <c r="O74" s="3013"/>
      <c r="P74" s="3013"/>
      <c r="Q74" s="1431"/>
    </row>
    <row r="75" spans="1:17" ht="20.25" x14ac:dyDescent="0.3">
      <c r="A75" s="3006" t="s">
        <v>3369</v>
      </c>
      <c r="B75" s="3006"/>
      <c r="C75" s="1452" t="s">
        <v>107</v>
      </c>
      <c r="D75" s="3010">
        <v>13</v>
      </c>
      <c r="E75" s="3011"/>
      <c r="F75" s="3011"/>
      <c r="G75" s="3011"/>
      <c r="H75" s="3011"/>
      <c r="I75" s="3012"/>
      <c r="K75" s="3005" t="s">
        <v>223</v>
      </c>
      <c r="L75" s="3005"/>
      <c r="M75" s="3005"/>
      <c r="N75" s="3005"/>
      <c r="O75" s="3005"/>
      <c r="P75" s="3005"/>
    </row>
    <row r="76" spans="1:17" ht="20.25" x14ac:dyDescent="0.3">
      <c r="A76" s="3006" t="s">
        <v>3370</v>
      </c>
      <c r="B76" s="3006"/>
      <c r="C76" s="1452" t="s">
        <v>107</v>
      </c>
      <c r="D76" s="3007">
        <v>14</v>
      </c>
      <c r="E76" s="3008"/>
      <c r="F76" s="3008"/>
      <c r="G76" s="3008"/>
      <c r="H76" s="3008"/>
      <c r="I76" s="3009"/>
      <c r="K76" s="3005"/>
      <c r="L76" s="3005"/>
      <c r="M76" s="3005"/>
      <c r="N76" s="3005"/>
      <c r="O76" s="3005"/>
      <c r="P76" s="3005"/>
    </row>
    <row r="77" spans="1:17" ht="20.25" x14ac:dyDescent="0.3">
      <c r="A77" s="3006" t="s">
        <v>3371</v>
      </c>
      <c r="B77" s="3006"/>
      <c r="C77" s="1452" t="s">
        <v>107</v>
      </c>
      <c r="D77" s="3010">
        <v>18</v>
      </c>
      <c r="E77" s="3011"/>
      <c r="F77" s="3011"/>
      <c r="G77" s="3011"/>
      <c r="H77" s="3011"/>
      <c r="I77" s="3012"/>
      <c r="J77" s="1432"/>
      <c r="K77" s="1432"/>
      <c r="L77" s="1432"/>
      <c r="M77" s="1432"/>
    </row>
    <row r="78" spans="1:17" ht="20.25" x14ac:dyDescent="0.3">
      <c r="A78" s="3006" t="s">
        <v>3372</v>
      </c>
      <c r="B78" s="3006"/>
      <c r="C78" s="1452" t="s">
        <v>107</v>
      </c>
      <c r="D78" s="3010">
        <v>22.5</v>
      </c>
      <c r="E78" s="3011"/>
      <c r="F78" s="3011"/>
      <c r="G78" s="3011"/>
      <c r="H78" s="3011"/>
      <c r="I78" s="3012"/>
      <c r="J78" s="114"/>
      <c r="K78" s="114"/>
      <c r="L78" s="114"/>
      <c r="M78" s="114"/>
    </row>
    <row r="79" spans="1:17" ht="20.25" x14ac:dyDescent="0.3">
      <c r="A79" s="3006" t="s">
        <v>280</v>
      </c>
      <c r="B79" s="3006"/>
      <c r="C79" s="1452" t="s">
        <v>107</v>
      </c>
      <c r="D79" s="3010">
        <f>ROUND(175.5*(1-F86),2)</f>
        <v>175.5</v>
      </c>
      <c r="E79" s="3011"/>
      <c r="F79" s="3011"/>
      <c r="G79" s="3011"/>
      <c r="H79" s="3011"/>
      <c r="I79" s="3012"/>
      <c r="J79" s="114"/>
      <c r="K79" s="114"/>
      <c r="L79" s="114"/>
      <c r="M79" s="114"/>
    </row>
    <row r="80" spans="1:17" ht="20.25" x14ac:dyDescent="0.3">
      <c r="A80" s="3006" t="s">
        <v>281</v>
      </c>
      <c r="B80" s="3006"/>
      <c r="C80" s="1452" t="s">
        <v>107</v>
      </c>
      <c r="D80" s="3014">
        <f>ROUND(217.1*(1-F86),2)</f>
        <v>217.1</v>
      </c>
      <c r="E80" s="3014"/>
      <c r="F80" s="3014"/>
      <c r="G80" s="3014"/>
      <c r="H80" s="3014"/>
      <c r="I80" s="3014"/>
      <c r="J80" s="114"/>
      <c r="K80" s="114"/>
      <c r="L80" s="114"/>
      <c r="M80" s="114"/>
    </row>
    <row r="81" spans="1:17" ht="20.25" x14ac:dyDescent="0.3">
      <c r="A81" s="3006" t="s">
        <v>282</v>
      </c>
      <c r="B81" s="3006"/>
      <c r="C81" s="1452" t="s">
        <v>107</v>
      </c>
      <c r="D81" s="3014">
        <f>ROUND(7.1*(1-F86),2)</f>
        <v>7.1</v>
      </c>
      <c r="E81" s="3014"/>
      <c r="F81" s="3014"/>
      <c r="G81" s="3014"/>
      <c r="H81" s="3014"/>
      <c r="I81" s="3014"/>
      <c r="J81" s="114"/>
      <c r="K81" s="114"/>
      <c r="L81" s="114"/>
      <c r="M81" s="114"/>
    </row>
    <row r="82" spans="1:17" ht="20.25" x14ac:dyDescent="0.3">
      <c r="A82" s="3006" t="s">
        <v>3373</v>
      </c>
      <c r="B82" s="3006"/>
      <c r="C82" s="1452" t="s">
        <v>107</v>
      </c>
      <c r="D82" s="3014">
        <f>ROUND(8.75*(1-F86),2)</f>
        <v>8.75</v>
      </c>
      <c r="E82" s="3014"/>
      <c r="F82" s="3014"/>
      <c r="G82" s="3014"/>
      <c r="H82" s="3014"/>
      <c r="I82" s="3014"/>
      <c r="J82" s="115"/>
      <c r="K82" s="115"/>
      <c r="L82" s="115"/>
      <c r="M82" s="115"/>
    </row>
    <row r="83" spans="1:17" ht="20.25" x14ac:dyDescent="0.3">
      <c r="A83" s="114"/>
      <c r="J83" s="115"/>
      <c r="K83" s="115"/>
      <c r="L83" s="115"/>
      <c r="M83" s="115"/>
    </row>
    <row r="84" spans="1:17" ht="20.25" x14ac:dyDescent="0.2">
      <c r="J84" s="115"/>
      <c r="K84" s="115"/>
      <c r="L84" s="115"/>
      <c r="M84" s="115"/>
    </row>
    <row r="85" spans="1:17" ht="45.75" customHeight="1" x14ac:dyDescent="0.2">
      <c r="A85" s="3017" t="s">
        <v>66</v>
      </c>
      <c r="B85" s="3017"/>
      <c r="C85" s="3017"/>
      <c r="D85" s="3018" t="s">
        <v>283</v>
      </c>
      <c r="E85" s="3018"/>
      <c r="F85" s="3018" t="s">
        <v>274</v>
      </c>
      <c r="G85" s="3018"/>
      <c r="H85" s="3018"/>
      <c r="I85" s="3018"/>
      <c r="J85" s="3018"/>
      <c r="K85" s="115"/>
      <c r="L85" s="115"/>
      <c r="M85" s="115"/>
      <c r="N85" s="116"/>
      <c r="O85" s="116"/>
      <c r="P85" s="116"/>
      <c r="Q85" s="116"/>
    </row>
    <row r="86" spans="1:17" ht="20.25" x14ac:dyDescent="0.3">
      <c r="A86" s="3017"/>
      <c r="B86" s="3017"/>
      <c r="C86" s="3017"/>
      <c r="D86" s="3019">
        <v>0</v>
      </c>
      <c r="E86" s="3019"/>
      <c r="F86" s="3020">
        <v>0</v>
      </c>
      <c r="G86" s="3020"/>
      <c r="H86" s="3020"/>
      <c r="I86" s="3020"/>
      <c r="J86" s="3020"/>
      <c r="K86" s="114"/>
      <c r="L86" s="114"/>
      <c r="M86" s="114"/>
      <c r="N86" s="116"/>
      <c r="O86" s="116"/>
      <c r="P86" s="116"/>
      <c r="Q86" s="116"/>
    </row>
    <row r="87" spans="1:17" ht="20.25" x14ac:dyDescent="0.3">
      <c r="A87" s="3017"/>
      <c r="B87" s="3017"/>
      <c r="C87" s="3017"/>
      <c r="D87" s="3019"/>
      <c r="E87" s="3019"/>
      <c r="F87" s="3020"/>
      <c r="G87" s="3020"/>
      <c r="H87" s="3020"/>
      <c r="I87" s="3020"/>
      <c r="J87" s="3020"/>
      <c r="K87" s="85"/>
      <c r="L87" s="85"/>
      <c r="M87" s="85"/>
      <c r="N87" s="85"/>
      <c r="O87" s="85"/>
      <c r="P87" s="85"/>
      <c r="Q87" s="85"/>
    </row>
    <row r="94" spans="1:17" ht="14.25" x14ac:dyDescent="0.2">
      <c r="B94" s="2304"/>
      <c r="C94" s="2304"/>
    </row>
    <row r="95" spans="1:17" ht="14.25" x14ac:dyDescent="0.2">
      <c r="B95" s="2304"/>
      <c r="C95" s="2304"/>
    </row>
    <row r="96" spans="1:17" ht="14.25" x14ac:dyDescent="0.2">
      <c r="B96" s="2304"/>
      <c r="C96" s="2304"/>
    </row>
    <row r="97" spans="2:3" ht="14.25" x14ac:dyDescent="0.2">
      <c r="B97" s="2304"/>
      <c r="C97" s="2304"/>
    </row>
    <row r="98" spans="2:3" ht="14.25" x14ac:dyDescent="0.2">
      <c r="B98" s="2304"/>
      <c r="C98" s="2304"/>
    </row>
    <row r="99" spans="2:3" ht="14.25" x14ac:dyDescent="0.2">
      <c r="B99" s="2304"/>
      <c r="C99" s="2304"/>
    </row>
  </sheetData>
  <sheetProtection formatCells="0" formatColumns="0" formatRows="0"/>
  <mergeCells count="60">
    <mergeCell ref="A85:C87"/>
    <mergeCell ref="D85:E85"/>
    <mergeCell ref="F85:J85"/>
    <mergeCell ref="D86:E87"/>
    <mergeCell ref="F86:J87"/>
    <mergeCell ref="K73:P74"/>
    <mergeCell ref="A80:B80"/>
    <mergeCell ref="D80:I80"/>
    <mergeCell ref="D73:I73"/>
    <mergeCell ref="D74:I74"/>
    <mergeCell ref="A73:B73"/>
    <mergeCell ref="A74:B74"/>
    <mergeCell ref="A82:B82"/>
    <mergeCell ref="D82:I82"/>
    <mergeCell ref="K75:P76"/>
    <mergeCell ref="A81:B81"/>
    <mergeCell ref="D81:I81"/>
    <mergeCell ref="A79:B79"/>
    <mergeCell ref="D79:I79"/>
    <mergeCell ref="A78:B78"/>
    <mergeCell ref="D77:I77"/>
    <mergeCell ref="D78:I78"/>
    <mergeCell ref="D75:I75"/>
    <mergeCell ref="D76:I76"/>
    <mergeCell ref="A75:B75"/>
    <mergeCell ref="A76:B76"/>
    <mergeCell ref="A77:B77"/>
    <mergeCell ref="A69:B69"/>
    <mergeCell ref="D69:I69"/>
    <mergeCell ref="K69:P70"/>
    <mergeCell ref="A70:B70"/>
    <mergeCell ref="D70:I70"/>
    <mergeCell ref="A71:B71"/>
    <mergeCell ref="D71:I71"/>
    <mergeCell ref="K71:P72"/>
    <mergeCell ref="A72:B72"/>
    <mergeCell ref="D72:I72"/>
    <mergeCell ref="A66:F66"/>
    <mergeCell ref="K66:P66"/>
    <mergeCell ref="A67:B67"/>
    <mergeCell ref="D67:I67"/>
    <mergeCell ref="K67:P68"/>
    <mergeCell ref="A68:B68"/>
    <mergeCell ref="D68:I68"/>
    <mergeCell ref="E64:P64"/>
    <mergeCell ref="A1:P10"/>
    <mergeCell ref="A13:A15"/>
    <mergeCell ref="B13:B15"/>
    <mergeCell ref="C13:C15"/>
    <mergeCell ref="D13:D15"/>
    <mergeCell ref="E13:P13"/>
    <mergeCell ref="A16:P16"/>
    <mergeCell ref="A41:P41"/>
    <mergeCell ref="A48:P48"/>
    <mergeCell ref="A57:P57"/>
    <mergeCell ref="A63:P63"/>
    <mergeCell ref="F14:H14"/>
    <mergeCell ref="E14:E15"/>
    <mergeCell ref="I14:M14"/>
    <mergeCell ref="N14:P14"/>
  </mergeCells>
  <printOptions horizontalCentered="1"/>
  <pageMargins left="0.19685039370078741" right="0" top="0" bottom="0" header="0" footer="0"/>
  <pageSetup paperSize="9" scale="30" orientation="landscape" r:id="rId1"/>
  <headerFooter alignWithMargins="0">
    <oddFooter>&amp;R&amp;24Стр. &amp;P из  &amp;N
&amp;A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43"/>
  <sheetViews>
    <sheetView zoomScale="75" zoomScaleNormal="75" zoomScaleSheetLayoutView="100" workbookViewId="0">
      <selection sqref="A1:C2"/>
    </sheetView>
  </sheetViews>
  <sheetFormatPr defaultRowHeight="11.25" x14ac:dyDescent="0.2"/>
  <cols>
    <col min="1" max="1" width="13.28515625" style="1658" customWidth="1"/>
    <col min="2" max="2" width="41" style="1658" customWidth="1"/>
    <col min="3" max="3" width="13.140625" style="1658" customWidth="1"/>
    <col min="4" max="4" width="22.28515625" style="1658" customWidth="1"/>
    <col min="5" max="5" width="60.85546875" style="1658" customWidth="1"/>
    <col min="6" max="6" width="13.5703125" style="1658" customWidth="1"/>
    <col min="7" max="7" width="10.28515625" style="1658" customWidth="1"/>
    <col min="8" max="8" width="10.85546875" style="1658" customWidth="1"/>
    <col min="9" max="9" width="10.42578125" style="1658" customWidth="1"/>
    <col min="10" max="10" width="8.7109375" style="1658" customWidth="1"/>
    <col min="11" max="11" width="10.5703125" style="1658" customWidth="1"/>
    <col min="12" max="12" width="9.85546875" style="1658" customWidth="1"/>
    <col min="13" max="14" width="12.28515625" style="1658" customWidth="1"/>
    <col min="15" max="256" width="9.140625" style="1658"/>
    <col min="257" max="257" width="13.28515625" style="1658" customWidth="1"/>
    <col min="258" max="258" width="41" style="1658" customWidth="1"/>
    <col min="259" max="259" width="12.140625" style="1658" customWidth="1"/>
    <col min="260" max="260" width="15.5703125" style="1658" customWidth="1"/>
    <col min="261" max="261" width="60.85546875" style="1658" customWidth="1"/>
    <col min="262" max="262" width="11.42578125" style="1658" customWidth="1"/>
    <col min="263" max="263" width="9.85546875" style="1658" customWidth="1"/>
    <col min="264" max="264" width="10.85546875" style="1658" customWidth="1"/>
    <col min="265" max="265" width="10" style="1658" customWidth="1"/>
    <col min="266" max="266" width="8.7109375" style="1658" customWidth="1"/>
    <col min="267" max="267" width="9.42578125" style="1658" customWidth="1"/>
    <col min="268" max="268" width="9.140625" style="1658"/>
    <col min="269" max="270" width="12.28515625" style="1658" customWidth="1"/>
    <col min="271" max="512" width="9.140625" style="1658"/>
    <col min="513" max="513" width="13.28515625" style="1658" customWidth="1"/>
    <col min="514" max="514" width="41" style="1658" customWidth="1"/>
    <col min="515" max="515" width="12.140625" style="1658" customWidth="1"/>
    <col min="516" max="516" width="15.5703125" style="1658" customWidth="1"/>
    <col min="517" max="517" width="60.85546875" style="1658" customWidth="1"/>
    <col min="518" max="518" width="11.42578125" style="1658" customWidth="1"/>
    <col min="519" max="519" width="9.85546875" style="1658" customWidth="1"/>
    <col min="520" max="520" width="10.85546875" style="1658" customWidth="1"/>
    <col min="521" max="521" width="10" style="1658" customWidth="1"/>
    <col min="522" max="522" width="8.7109375" style="1658" customWidth="1"/>
    <col min="523" max="523" width="9.42578125" style="1658" customWidth="1"/>
    <col min="524" max="524" width="9.140625" style="1658"/>
    <col min="525" max="526" width="12.28515625" style="1658" customWidth="1"/>
    <col min="527" max="768" width="9.140625" style="1658"/>
    <col min="769" max="769" width="13.28515625" style="1658" customWidth="1"/>
    <col min="770" max="770" width="41" style="1658" customWidth="1"/>
    <col min="771" max="771" width="12.140625" style="1658" customWidth="1"/>
    <col min="772" max="772" width="15.5703125" style="1658" customWidth="1"/>
    <col min="773" max="773" width="60.85546875" style="1658" customWidth="1"/>
    <col min="774" max="774" width="11.42578125" style="1658" customWidth="1"/>
    <col min="775" max="775" width="9.85546875" style="1658" customWidth="1"/>
    <col min="776" max="776" width="10.85546875" style="1658" customWidth="1"/>
    <col min="777" max="777" width="10" style="1658" customWidth="1"/>
    <col min="778" max="778" width="8.7109375" style="1658" customWidth="1"/>
    <col min="779" max="779" width="9.42578125" style="1658" customWidth="1"/>
    <col min="780" max="780" width="9.140625" style="1658"/>
    <col min="781" max="782" width="12.28515625" style="1658" customWidth="1"/>
    <col min="783" max="1024" width="9.140625" style="1658"/>
    <col min="1025" max="1025" width="13.28515625" style="1658" customWidth="1"/>
    <col min="1026" max="1026" width="41" style="1658" customWidth="1"/>
    <col min="1027" max="1027" width="12.140625" style="1658" customWidth="1"/>
    <col min="1028" max="1028" width="15.5703125" style="1658" customWidth="1"/>
    <col min="1029" max="1029" width="60.85546875" style="1658" customWidth="1"/>
    <col min="1030" max="1030" width="11.42578125" style="1658" customWidth="1"/>
    <col min="1031" max="1031" width="9.85546875" style="1658" customWidth="1"/>
    <col min="1032" max="1032" width="10.85546875" style="1658" customWidth="1"/>
    <col min="1033" max="1033" width="10" style="1658" customWidth="1"/>
    <col min="1034" max="1034" width="8.7109375" style="1658" customWidth="1"/>
    <col min="1035" max="1035" width="9.42578125" style="1658" customWidth="1"/>
    <col min="1036" max="1036" width="9.140625" style="1658"/>
    <col min="1037" max="1038" width="12.28515625" style="1658" customWidth="1"/>
    <col min="1039" max="1280" width="9.140625" style="1658"/>
    <col min="1281" max="1281" width="13.28515625" style="1658" customWidth="1"/>
    <col min="1282" max="1282" width="41" style="1658" customWidth="1"/>
    <col min="1283" max="1283" width="12.140625" style="1658" customWidth="1"/>
    <col min="1284" max="1284" width="15.5703125" style="1658" customWidth="1"/>
    <col min="1285" max="1285" width="60.85546875" style="1658" customWidth="1"/>
    <col min="1286" max="1286" width="11.42578125" style="1658" customWidth="1"/>
    <col min="1287" max="1287" width="9.85546875" style="1658" customWidth="1"/>
    <col min="1288" max="1288" width="10.85546875" style="1658" customWidth="1"/>
    <col min="1289" max="1289" width="10" style="1658" customWidth="1"/>
    <col min="1290" max="1290" width="8.7109375" style="1658" customWidth="1"/>
    <col min="1291" max="1291" width="9.42578125" style="1658" customWidth="1"/>
    <col min="1292" max="1292" width="9.140625" style="1658"/>
    <col min="1293" max="1294" width="12.28515625" style="1658" customWidth="1"/>
    <col min="1295" max="1536" width="9.140625" style="1658"/>
    <col min="1537" max="1537" width="13.28515625" style="1658" customWidth="1"/>
    <col min="1538" max="1538" width="41" style="1658" customWidth="1"/>
    <col min="1539" max="1539" width="12.140625" style="1658" customWidth="1"/>
    <col min="1540" max="1540" width="15.5703125" style="1658" customWidth="1"/>
    <col min="1541" max="1541" width="60.85546875" style="1658" customWidth="1"/>
    <col min="1542" max="1542" width="11.42578125" style="1658" customWidth="1"/>
    <col min="1543" max="1543" width="9.85546875" style="1658" customWidth="1"/>
    <col min="1544" max="1544" width="10.85546875" style="1658" customWidth="1"/>
    <col min="1545" max="1545" width="10" style="1658" customWidth="1"/>
    <col min="1546" max="1546" width="8.7109375" style="1658" customWidth="1"/>
    <col min="1547" max="1547" width="9.42578125" style="1658" customWidth="1"/>
    <col min="1548" max="1548" width="9.140625" style="1658"/>
    <col min="1549" max="1550" width="12.28515625" style="1658" customWidth="1"/>
    <col min="1551" max="1792" width="9.140625" style="1658"/>
    <col min="1793" max="1793" width="13.28515625" style="1658" customWidth="1"/>
    <col min="1794" max="1794" width="41" style="1658" customWidth="1"/>
    <col min="1795" max="1795" width="12.140625" style="1658" customWidth="1"/>
    <col min="1796" max="1796" width="15.5703125" style="1658" customWidth="1"/>
    <col min="1797" max="1797" width="60.85546875" style="1658" customWidth="1"/>
    <col min="1798" max="1798" width="11.42578125" style="1658" customWidth="1"/>
    <col min="1799" max="1799" width="9.85546875" style="1658" customWidth="1"/>
    <col min="1800" max="1800" width="10.85546875" style="1658" customWidth="1"/>
    <col min="1801" max="1801" width="10" style="1658" customWidth="1"/>
    <col min="1802" max="1802" width="8.7109375" style="1658" customWidth="1"/>
    <col min="1803" max="1803" width="9.42578125" style="1658" customWidth="1"/>
    <col min="1804" max="1804" width="9.140625" style="1658"/>
    <col min="1805" max="1806" width="12.28515625" style="1658" customWidth="1"/>
    <col min="1807" max="2048" width="9.140625" style="1658"/>
    <col min="2049" max="2049" width="13.28515625" style="1658" customWidth="1"/>
    <col min="2050" max="2050" width="41" style="1658" customWidth="1"/>
    <col min="2051" max="2051" width="12.140625" style="1658" customWidth="1"/>
    <col min="2052" max="2052" width="15.5703125" style="1658" customWidth="1"/>
    <col min="2053" max="2053" width="60.85546875" style="1658" customWidth="1"/>
    <col min="2054" max="2054" width="11.42578125" style="1658" customWidth="1"/>
    <col min="2055" max="2055" width="9.85546875" style="1658" customWidth="1"/>
    <col min="2056" max="2056" width="10.85546875" style="1658" customWidth="1"/>
    <col min="2057" max="2057" width="10" style="1658" customWidth="1"/>
    <col min="2058" max="2058" width="8.7109375" style="1658" customWidth="1"/>
    <col min="2059" max="2059" width="9.42578125" style="1658" customWidth="1"/>
    <col min="2060" max="2060" width="9.140625" style="1658"/>
    <col min="2061" max="2062" width="12.28515625" style="1658" customWidth="1"/>
    <col min="2063" max="2304" width="9.140625" style="1658"/>
    <col min="2305" max="2305" width="13.28515625" style="1658" customWidth="1"/>
    <col min="2306" max="2306" width="41" style="1658" customWidth="1"/>
    <col min="2307" max="2307" width="12.140625" style="1658" customWidth="1"/>
    <col min="2308" max="2308" width="15.5703125" style="1658" customWidth="1"/>
    <col min="2309" max="2309" width="60.85546875" style="1658" customWidth="1"/>
    <col min="2310" max="2310" width="11.42578125" style="1658" customWidth="1"/>
    <col min="2311" max="2311" width="9.85546875" style="1658" customWidth="1"/>
    <col min="2312" max="2312" width="10.85546875" style="1658" customWidth="1"/>
    <col min="2313" max="2313" width="10" style="1658" customWidth="1"/>
    <col min="2314" max="2314" width="8.7109375" style="1658" customWidth="1"/>
    <col min="2315" max="2315" width="9.42578125" style="1658" customWidth="1"/>
    <col min="2316" max="2316" width="9.140625" style="1658"/>
    <col min="2317" max="2318" width="12.28515625" style="1658" customWidth="1"/>
    <col min="2319" max="2560" width="9.140625" style="1658"/>
    <col min="2561" max="2561" width="13.28515625" style="1658" customWidth="1"/>
    <col min="2562" max="2562" width="41" style="1658" customWidth="1"/>
    <col min="2563" max="2563" width="12.140625" style="1658" customWidth="1"/>
    <col min="2564" max="2564" width="15.5703125" style="1658" customWidth="1"/>
    <col min="2565" max="2565" width="60.85546875" style="1658" customWidth="1"/>
    <col min="2566" max="2566" width="11.42578125" style="1658" customWidth="1"/>
    <col min="2567" max="2567" width="9.85546875" style="1658" customWidth="1"/>
    <col min="2568" max="2568" width="10.85546875" style="1658" customWidth="1"/>
    <col min="2569" max="2569" width="10" style="1658" customWidth="1"/>
    <col min="2570" max="2570" width="8.7109375" style="1658" customWidth="1"/>
    <col min="2571" max="2571" width="9.42578125" style="1658" customWidth="1"/>
    <col min="2572" max="2572" width="9.140625" style="1658"/>
    <col min="2573" max="2574" width="12.28515625" style="1658" customWidth="1"/>
    <col min="2575" max="2816" width="9.140625" style="1658"/>
    <col min="2817" max="2817" width="13.28515625" style="1658" customWidth="1"/>
    <col min="2818" max="2818" width="41" style="1658" customWidth="1"/>
    <col min="2819" max="2819" width="12.140625" style="1658" customWidth="1"/>
    <col min="2820" max="2820" width="15.5703125" style="1658" customWidth="1"/>
    <col min="2821" max="2821" width="60.85546875" style="1658" customWidth="1"/>
    <col min="2822" max="2822" width="11.42578125" style="1658" customWidth="1"/>
    <col min="2823" max="2823" width="9.85546875" style="1658" customWidth="1"/>
    <col min="2824" max="2824" width="10.85546875" style="1658" customWidth="1"/>
    <col min="2825" max="2825" width="10" style="1658" customWidth="1"/>
    <col min="2826" max="2826" width="8.7109375" style="1658" customWidth="1"/>
    <col min="2827" max="2827" width="9.42578125" style="1658" customWidth="1"/>
    <col min="2828" max="2828" width="9.140625" style="1658"/>
    <col min="2829" max="2830" width="12.28515625" style="1658" customWidth="1"/>
    <col min="2831" max="3072" width="9.140625" style="1658"/>
    <col min="3073" max="3073" width="13.28515625" style="1658" customWidth="1"/>
    <col min="3074" max="3074" width="41" style="1658" customWidth="1"/>
    <col min="3075" max="3075" width="12.140625" style="1658" customWidth="1"/>
    <col min="3076" max="3076" width="15.5703125" style="1658" customWidth="1"/>
    <col min="3077" max="3077" width="60.85546875" style="1658" customWidth="1"/>
    <col min="3078" max="3078" width="11.42578125" style="1658" customWidth="1"/>
    <col min="3079" max="3079" width="9.85546875" style="1658" customWidth="1"/>
    <col min="3080" max="3080" width="10.85546875" style="1658" customWidth="1"/>
    <col min="3081" max="3081" width="10" style="1658" customWidth="1"/>
    <col min="3082" max="3082" width="8.7109375" style="1658" customWidth="1"/>
    <col min="3083" max="3083" width="9.42578125" style="1658" customWidth="1"/>
    <col min="3084" max="3084" width="9.140625" style="1658"/>
    <col min="3085" max="3086" width="12.28515625" style="1658" customWidth="1"/>
    <col min="3087" max="3328" width="9.140625" style="1658"/>
    <col min="3329" max="3329" width="13.28515625" style="1658" customWidth="1"/>
    <col min="3330" max="3330" width="41" style="1658" customWidth="1"/>
    <col min="3331" max="3331" width="12.140625" style="1658" customWidth="1"/>
    <col min="3332" max="3332" width="15.5703125" style="1658" customWidth="1"/>
    <col min="3333" max="3333" width="60.85546875" style="1658" customWidth="1"/>
    <col min="3334" max="3334" width="11.42578125" style="1658" customWidth="1"/>
    <col min="3335" max="3335" width="9.85546875" style="1658" customWidth="1"/>
    <col min="3336" max="3336" width="10.85546875" style="1658" customWidth="1"/>
    <col min="3337" max="3337" width="10" style="1658" customWidth="1"/>
    <col min="3338" max="3338" width="8.7109375" style="1658" customWidth="1"/>
    <col min="3339" max="3339" width="9.42578125" style="1658" customWidth="1"/>
    <col min="3340" max="3340" width="9.140625" style="1658"/>
    <col min="3341" max="3342" width="12.28515625" style="1658" customWidth="1"/>
    <col min="3343" max="3584" width="9.140625" style="1658"/>
    <col min="3585" max="3585" width="13.28515625" style="1658" customWidth="1"/>
    <col min="3586" max="3586" width="41" style="1658" customWidth="1"/>
    <col min="3587" max="3587" width="12.140625" style="1658" customWidth="1"/>
    <col min="3588" max="3588" width="15.5703125" style="1658" customWidth="1"/>
    <col min="3589" max="3589" width="60.85546875" style="1658" customWidth="1"/>
    <col min="3590" max="3590" width="11.42578125" style="1658" customWidth="1"/>
    <col min="3591" max="3591" width="9.85546875" style="1658" customWidth="1"/>
    <col min="3592" max="3592" width="10.85546875" style="1658" customWidth="1"/>
    <col min="3593" max="3593" width="10" style="1658" customWidth="1"/>
    <col min="3594" max="3594" width="8.7109375" style="1658" customWidth="1"/>
    <col min="3595" max="3595" width="9.42578125" style="1658" customWidth="1"/>
    <col min="3596" max="3596" width="9.140625" style="1658"/>
    <col min="3597" max="3598" width="12.28515625" style="1658" customWidth="1"/>
    <col min="3599" max="3840" width="9.140625" style="1658"/>
    <col min="3841" max="3841" width="13.28515625" style="1658" customWidth="1"/>
    <col min="3842" max="3842" width="41" style="1658" customWidth="1"/>
    <col min="3843" max="3843" width="12.140625" style="1658" customWidth="1"/>
    <col min="3844" max="3844" width="15.5703125" style="1658" customWidth="1"/>
    <col min="3845" max="3845" width="60.85546875" style="1658" customWidth="1"/>
    <col min="3846" max="3846" width="11.42578125" style="1658" customWidth="1"/>
    <col min="3847" max="3847" width="9.85546875" style="1658" customWidth="1"/>
    <col min="3848" max="3848" width="10.85546875" style="1658" customWidth="1"/>
    <col min="3849" max="3849" width="10" style="1658" customWidth="1"/>
    <col min="3850" max="3850" width="8.7109375" style="1658" customWidth="1"/>
    <col min="3851" max="3851" width="9.42578125" style="1658" customWidth="1"/>
    <col min="3852" max="3852" width="9.140625" style="1658"/>
    <col min="3853" max="3854" width="12.28515625" style="1658" customWidth="1"/>
    <col min="3855" max="4096" width="9.140625" style="1658"/>
    <col min="4097" max="4097" width="13.28515625" style="1658" customWidth="1"/>
    <col min="4098" max="4098" width="41" style="1658" customWidth="1"/>
    <col min="4099" max="4099" width="12.140625" style="1658" customWidth="1"/>
    <col min="4100" max="4100" width="15.5703125" style="1658" customWidth="1"/>
    <col min="4101" max="4101" width="60.85546875" style="1658" customWidth="1"/>
    <col min="4102" max="4102" width="11.42578125" style="1658" customWidth="1"/>
    <col min="4103" max="4103" width="9.85546875" style="1658" customWidth="1"/>
    <col min="4104" max="4104" width="10.85546875" style="1658" customWidth="1"/>
    <col min="4105" max="4105" width="10" style="1658" customWidth="1"/>
    <col min="4106" max="4106" width="8.7109375" style="1658" customWidth="1"/>
    <col min="4107" max="4107" width="9.42578125" style="1658" customWidth="1"/>
    <col min="4108" max="4108" width="9.140625" style="1658"/>
    <col min="4109" max="4110" width="12.28515625" style="1658" customWidth="1"/>
    <col min="4111" max="4352" width="9.140625" style="1658"/>
    <col min="4353" max="4353" width="13.28515625" style="1658" customWidth="1"/>
    <col min="4354" max="4354" width="41" style="1658" customWidth="1"/>
    <col min="4355" max="4355" width="12.140625" style="1658" customWidth="1"/>
    <col min="4356" max="4356" width="15.5703125" style="1658" customWidth="1"/>
    <col min="4357" max="4357" width="60.85546875" style="1658" customWidth="1"/>
    <col min="4358" max="4358" width="11.42578125" style="1658" customWidth="1"/>
    <col min="4359" max="4359" width="9.85546875" style="1658" customWidth="1"/>
    <col min="4360" max="4360" width="10.85546875" style="1658" customWidth="1"/>
    <col min="4361" max="4361" width="10" style="1658" customWidth="1"/>
    <col min="4362" max="4362" width="8.7109375" style="1658" customWidth="1"/>
    <col min="4363" max="4363" width="9.42578125" style="1658" customWidth="1"/>
    <col min="4364" max="4364" width="9.140625" style="1658"/>
    <col min="4365" max="4366" width="12.28515625" style="1658" customWidth="1"/>
    <col min="4367" max="4608" width="9.140625" style="1658"/>
    <col min="4609" max="4609" width="13.28515625" style="1658" customWidth="1"/>
    <col min="4610" max="4610" width="41" style="1658" customWidth="1"/>
    <col min="4611" max="4611" width="12.140625" style="1658" customWidth="1"/>
    <col min="4612" max="4612" width="15.5703125" style="1658" customWidth="1"/>
    <col min="4613" max="4613" width="60.85546875" style="1658" customWidth="1"/>
    <col min="4614" max="4614" width="11.42578125" style="1658" customWidth="1"/>
    <col min="4615" max="4615" width="9.85546875" style="1658" customWidth="1"/>
    <col min="4616" max="4616" width="10.85546875" style="1658" customWidth="1"/>
    <col min="4617" max="4617" width="10" style="1658" customWidth="1"/>
    <col min="4618" max="4618" width="8.7109375" style="1658" customWidth="1"/>
    <col min="4619" max="4619" width="9.42578125" style="1658" customWidth="1"/>
    <col min="4620" max="4620" width="9.140625" style="1658"/>
    <col min="4621" max="4622" width="12.28515625" style="1658" customWidth="1"/>
    <col min="4623" max="4864" width="9.140625" style="1658"/>
    <col min="4865" max="4865" width="13.28515625" style="1658" customWidth="1"/>
    <col min="4866" max="4866" width="41" style="1658" customWidth="1"/>
    <col min="4867" max="4867" width="12.140625" style="1658" customWidth="1"/>
    <col min="4868" max="4868" width="15.5703125" style="1658" customWidth="1"/>
    <col min="4869" max="4869" width="60.85546875" style="1658" customWidth="1"/>
    <col min="4870" max="4870" width="11.42578125" style="1658" customWidth="1"/>
    <col min="4871" max="4871" width="9.85546875" style="1658" customWidth="1"/>
    <col min="4872" max="4872" width="10.85546875" style="1658" customWidth="1"/>
    <col min="4873" max="4873" width="10" style="1658" customWidth="1"/>
    <col min="4874" max="4874" width="8.7109375" style="1658" customWidth="1"/>
    <col min="4875" max="4875" width="9.42578125" style="1658" customWidth="1"/>
    <col min="4876" max="4876" width="9.140625" style="1658"/>
    <col min="4877" max="4878" width="12.28515625" style="1658" customWidth="1"/>
    <col min="4879" max="5120" width="9.140625" style="1658"/>
    <col min="5121" max="5121" width="13.28515625" style="1658" customWidth="1"/>
    <col min="5122" max="5122" width="41" style="1658" customWidth="1"/>
    <col min="5123" max="5123" width="12.140625" style="1658" customWidth="1"/>
    <col min="5124" max="5124" width="15.5703125" style="1658" customWidth="1"/>
    <col min="5125" max="5125" width="60.85546875" style="1658" customWidth="1"/>
    <col min="5126" max="5126" width="11.42578125" style="1658" customWidth="1"/>
    <col min="5127" max="5127" width="9.85546875" style="1658" customWidth="1"/>
    <col min="5128" max="5128" width="10.85546875" style="1658" customWidth="1"/>
    <col min="5129" max="5129" width="10" style="1658" customWidth="1"/>
    <col min="5130" max="5130" width="8.7109375" style="1658" customWidth="1"/>
    <col min="5131" max="5131" width="9.42578125" style="1658" customWidth="1"/>
    <col min="5132" max="5132" width="9.140625" style="1658"/>
    <col min="5133" max="5134" width="12.28515625" style="1658" customWidth="1"/>
    <col min="5135" max="5376" width="9.140625" style="1658"/>
    <col min="5377" max="5377" width="13.28515625" style="1658" customWidth="1"/>
    <col min="5378" max="5378" width="41" style="1658" customWidth="1"/>
    <col min="5379" max="5379" width="12.140625" style="1658" customWidth="1"/>
    <col min="5380" max="5380" width="15.5703125" style="1658" customWidth="1"/>
    <col min="5381" max="5381" width="60.85546875" style="1658" customWidth="1"/>
    <col min="5382" max="5382" width="11.42578125" style="1658" customWidth="1"/>
    <col min="5383" max="5383" width="9.85546875" style="1658" customWidth="1"/>
    <col min="5384" max="5384" width="10.85546875" style="1658" customWidth="1"/>
    <col min="5385" max="5385" width="10" style="1658" customWidth="1"/>
    <col min="5386" max="5386" width="8.7109375" style="1658" customWidth="1"/>
    <col min="5387" max="5387" width="9.42578125" style="1658" customWidth="1"/>
    <col min="5388" max="5388" width="9.140625" style="1658"/>
    <col min="5389" max="5390" width="12.28515625" style="1658" customWidth="1"/>
    <col min="5391" max="5632" width="9.140625" style="1658"/>
    <col min="5633" max="5633" width="13.28515625" style="1658" customWidth="1"/>
    <col min="5634" max="5634" width="41" style="1658" customWidth="1"/>
    <col min="5635" max="5635" width="12.140625" style="1658" customWidth="1"/>
    <col min="5636" max="5636" width="15.5703125" style="1658" customWidth="1"/>
    <col min="5637" max="5637" width="60.85546875" style="1658" customWidth="1"/>
    <col min="5638" max="5638" width="11.42578125" style="1658" customWidth="1"/>
    <col min="5639" max="5639" width="9.85546875" style="1658" customWidth="1"/>
    <col min="5640" max="5640" width="10.85546875" style="1658" customWidth="1"/>
    <col min="5641" max="5641" width="10" style="1658" customWidth="1"/>
    <col min="5642" max="5642" width="8.7109375" style="1658" customWidth="1"/>
    <col min="5643" max="5643" width="9.42578125" style="1658" customWidth="1"/>
    <col min="5644" max="5644" width="9.140625" style="1658"/>
    <col min="5645" max="5646" width="12.28515625" style="1658" customWidth="1"/>
    <col min="5647" max="5888" width="9.140625" style="1658"/>
    <col min="5889" max="5889" width="13.28515625" style="1658" customWidth="1"/>
    <col min="5890" max="5890" width="41" style="1658" customWidth="1"/>
    <col min="5891" max="5891" width="12.140625" style="1658" customWidth="1"/>
    <col min="5892" max="5892" width="15.5703125" style="1658" customWidth="1"/>
    <col min="5893" max="5893" width="60.85546875" style="1658" customWidth="1"/>
    <col min="5894" max="5894" width="11.42578125" style="1658" customWidth="1"/>
    <col min="5895" max="5895" width="9.85546875" style="1658" customWidth="1"/>
    <col min="5896" max="5896" width="10.85546875" style="1658" customWidth="1"/>
    <col min="5897" max="5897" width="10" style="1658" customWidth="1"/>
    <col min="5898" max="5898" width="8.7109375" style="1658" customWidth="1"/>
    <col min="5899" max="5899" width="9.42578125" style="1658" customWidth="1"/>
    <col min="5900" max="5900" width="9.140625" style="1658"/>
    <col min="5901" max="5902" width="12.28515625" style="1658" customWidth="1"/>
    <col min="5903" max="6144" width="9.140625" style="1658"/>
    <col min="6145" max="6145" width="13.28515625" style="1658" customWidth="1"/>
    <col min="6146" max="6146" width="41" style="1658" customWidth="1"/>
    <col min="6147" max="6147" width="12.140625" style="1658" customWidth="1"/>
    <col min="6148" max="6148" width="15.5703125" style="1658" customWidth="1"/>
    <col min="6149" max="6149" width="60.85546875" style="1658" customWidth="1"/>
    <col min="6150" max="6150" width="11.42578125" style="1658" customWidth="1"/>
    <col min="6151" max="6151" width="9.85546875" style="1658" customWidth="1"/>
    <col min="6152" max="6152" width="10.85546875" style="1658" customWidth="1"/>
    <col min="6153" max="6153" width="10" style="1658" customWidth="1"/>
    <col min="6154" max="6154" width="8.7109375" style="1658" customWidth="1"/>
    <col min="6155" max="6155" width="9.42578125" style="1658" customWidth="1"/>
    <col min="6156" max="6156" width="9.140625" style="1658"/>
    <col min="6157" max="6158" width="12.28515625" style="1658" customWidth="1"/>
    <col min="6159" max="6400" width="9.140625" style="1658"/>
    <col min="6401" max="6401" width="13.28515625" style="1658" customWidth="1"/>
    <col min="6402" max="6402" width="41" style="1658" customWidth="1"/>
    <col min="6403" max="6403" width="12.140625" style="1658" customWidth="1"/>
    <col min="6404" max="6404" width="15.5703125" style="1658" customWidth="1"/>
    <col min="6405" max="6405" width="60.85546875" style="1658" customWidth="1"/>
    <col min="6406" max="6406" width="11.42578125" style="1658" customWidth="1"/>
    <col min="6407" max="6407" width="9.85546875" style="1658" customWidth="1"/>
    <col min="6408" max="6408" width="10.85546875" style="1658" customWidth="1"/>
    <col min="6409" max="6409" width="10" style="1658" customWidth="1"/>
    <col min="6410" max="6410" width="8.7109375" style="1658" customWidth="1"/>
    <col min="6411" max="6411" width="9.42578125" style="1658" customWidth="1"/>
    <col min="6412" max="6412" width="9.140625" style="1658"/>
    <col min="6413" max="6414" width="12.28515625" style="1658" customWidth="1"/>
    <col min="6415" max="6656" width="9.140625" style="1658"/>
    <col min="6657" max="6657" width="13.28515625" style="1658" customWidth="1"/>
    <col min="6658" max="6658" width="41" style="1658" customWidth="1"/>
    <col min="6659" max="6659" width="12.140625" style="1658" customWidth="1"/>
    <col min="6660" max="6660" width="15.5703125" style="1658" customWidth="1"/>
    <col min="6661" max="6661" width="60.85546875" style="1658" customWidth="1"/>
    <col min="6662" max="6662" width="11.42578125" style="1658" customWidth="1"/>
    <col min="6663" max="6663" width="9.85546875" style="1658" customWidth="1"/>
    <col min="6664" max="6664" width="10.85546875" style="1658" customWidth="1"/>
    <col min="6665" max="6665" width="10" style="1658" customWidth="1"/>
    <col min="6666" max="6666" width="8.7109375" style="1658" customWidth="1"/>
    <col min="6667" max="6667" width="9.42578125" style="1658" customWidth="1"/>
    <col min="6668" max="6668" width="9.140625" style="1658"/>
    <col min="6669" max="6670" width="12.28515625" style="1658" customWidth="1"/>
    <col min="6671" max="6912" width="9.140625" style="1658"/>
    <col min="6913" max="6913" width="13.28515625" style="1658" customWidth="1"/>
    <col min="6914" max="6914" width="41" style="1658" customWidth="1"/>
    <col min="6915" max="6915" width="12.140625" style="1658" customWidth="1"/>
    <col min="6916" max="6916" width="15.5703125" style="1658" customWidth="1"/>
    <col min="6917" max="6917" width="60.85546875" style="1658" customWidth="1"/>
    <col min="6918" max="6918" width="11.42578125" style="1658" customWidth="1"/>
    <col min="6919" max="6919" width="9.85546875" style="1658" customWidth="1"/>
    <col min="6920" max="6920" width="10.85546875" style="1658" customWidth="1"/>
    <col min="6921" max="6921" width="10" style="1658" customWidth="1"/>
    <col min="6922" max="6922" width="8.7109375" style="1658" customWidth="1"/>
    <col min="6923" max="6923" width="9.42578125" style="1658" customWidth="1"/>
    <col min="6924" max="6924" width="9.140625" style="1658"/>
    <col min="6925" max="6926" width="12.28515625" style="1658" customWidth="1"/>
    <col min="6927" max="7168" width="9.140625" style="1658"/>
    <col min="7169" max="7169" width="13.28515625" style="1658" customWidth="1"/>
    <col min="7170" max="7170" width="41" style="1658" customWidth="1"/>
    <col min="7171" max="7171" width="12.140625" style="1658" customWidth="1"/>
    <col min="7172" max="7172" width="15.5703125" style="1658" customWidth="1"/>
    <col min="7173" max="7173" width="60.85546875" style="1658" customWidth="1"/>
    <col min="7174" max="7174" width="11.42578125" style="1658" customWidth="1"/>
    <col min="7175" max="7175" width="9.85546875" style="1658" customWidth="1"/>
    <col min="7176" max="7176" width="10.85546875" style="1658" customWidth="1"/>
    <col min="7177" max="7177" width="10" style="1658" customWidth="1"/>
    <col min="7178" max="7178" width="8.7109375" style="1658" customWidth="1"/>
    <col min="7179" max="7179" width="9.42578125" style="1658" customWidth="1"/>
    <col min="7180" max="7180" width="9.140625" style="1658"/>
    <col min="7181" max="7182" width="12.28515625" style="1658" customWidth="1"/>
    <col min="7183" max="7424" width="9.140625" style="1658"/>
    <col min="7425" max="7425" width="13.28515625" style="1658" customWidth="1"/>
    <col min="7426" max="7426" width="41" style="1658" customWidth="1"/>
    <col min="7427" max="7427" width="12.140625" style="1658" customWidth="1"/>
    <col min="7428" max="7428" width="15.5703125" style="1658" customWidth="1"/>
    <col min="7429" max="7429" width="60.85546875" style="1658" customWidth="1"/>
    <col min="7430" max="7430" width="11.42578125" style="1658" customWidth="1"/>
    <col min="7431" max="7431" width="9.85546875" style="1658" customWidth="1"/>
    <col min="7432" max="7432" width="10.85546875" style="1658" customWidth="1"/>
    <col min="7433" max="7433" width="10" style="1658" customWidth="1"/>
    <col min="7434" max="7434" width="8.7109375" style="1658" customWidth="1"/>
    <col min="7435" max="7435" width="9.42578125" style="1658" customWidth="1"/>
    <col min="7436" max="7436" width="9.140625" style="1658"/>
    <col min="7437" max="7438" width="12.28515625" style="1658" customWidth="1"/>
    <col min="7439" max="7680" width="9.140625" style="1658"/>
    <col min="7681" max="7681" width="13.28515625" style="1658" customWidth="1"/>
    <col min="7682" max="7682" width="41" style="1658" customWidth="1"/>
    <col min="7683" max="7683" width="12.140625" style="1658" customWidth="1"/>
    <col min="7684" max="7684" width="15.5703125" style="1658" customWidth="1"/>
    <col min="7685" max="7685" width="60.85546875" style="1658" customWidth="1"/>
    <col min="7686" max="7686" width="11.42578125" style="1658" customWidth="1"/>
    <col min="7687" max="7687" width="9.85546875" style="1658" customWidth="1"/>
    <col min="7688" max="7688" width="10.85546875" style="1658" customWidth="1"/>
    <col min="7689" max="7689" width="10" style="1658" customWidth="1"/>
    <col min="7690" max="7690" width="8.7109375" style="1658" customWidth="1"/>
    <col min="7691" max="7691" width="9.42578125" style="1658" customWidth="1"/>
    <col min="7692" max="7692" width="9.140625" style="1658"/>
    <col min="7693" max="7694" width="12.28515625" style="1658" customWidth="1"/>
    <col min="7695" max="7936" width="9.140625" style="1658"/>
    <col min="7937" max="7937" width="13.28515625" style="1658" customWidth="1"/>
    <col min="7938" max="7938" width="41" style="1658" customWidth="1"/>
    <col min="7939" max="7939" width="12.140625" style="1658" customWidth="1"/>
    <col min="7940" max="7940" width="15.5703125" style="1658" customWidth="1"/>
    <col min="7941" max="7941" width="60.85546875" style="1658" customWidth="1"/>
    <col min="7942" max="7942" width="11.42578125" style="1658" customWidth="1"/>
    <col min="7943" max="7943" width="9.85546875" style="1658" customWidth="1"/>
    <col min="7944" max="7944" width="10.85546875" style="1658" customWidth="1"/>
    <col min="7945" max="7945" width="10" style="1658" customWidth="1"/>
    <col min="7946" max="7946" width="8.7109375" style="1658" customWidth="1"/>
    <col min="7947" max="7947" width="9.42578125" style="1658" customWidth="1"/>
    <col min="7948" max="7948" width="9.140625" style="1658"/>
    <col min="7949" max="7950" width="12.28515625" style="1658" customWidth="1"/>
    <col min="7951" max="8192" width="9.140625" style="1658"/>
    <col min="8193" max="8193" width="13.28515625" style="1658" customWidth="1"/>
    <col min="8194" max="8194" width="41" style="1658" customWidth="1"/>
    <col min="8195" max="8195" width="12.140625" style="1658" customWidth="1"/>
    <col min="8196" max="8196" width="15.5703125" style="1658" customWidth="1"/>
    <col min="8197" max="8197" width="60.85546875" style="1658" customWidth="1"/>
    <col min="8198" max="8198" width="11.42578125" style="1658" customWidth="1"/>
    <col min="8199" max="8199" width="9.85546875" style="1658" customWidth="1"/>
    <col min="8200" max="8200" width="10.85546875" style="1658" customWidth="1"/>
    <col min="8201" max="8201" width="10" style="1658" customWidth="1"/>
    <col min="8202" max="8202" width="8.7109375" style="1658" customWidth="1"/>
    <col min="8203" max="8203" width="9.42578125" style="1658" customWidth="1"/>
    <col min="8204" max="8204" width="9.140625" style="1658"/>
    <col min="8205" max="8206" width="12.28515625" style="1658" customWidth="1"/>
    <col min="8207" max="8448" width="9.140625" style="1658"/>
    <col min="8449" max="8449" width="13.28515625" style="1658" customWidth="1"/>
    <col min="8450" max="8450" width="41" style="1658" customWidth="1"/>
    <col min="8451" max="8451" width="12.140625" style="1658" customWidth="1"/>
    <col min="8452" max="8452" width="15.5703125" style="1658" customWidth="1"/>
    <col min="8453" max="8453" width="60.85546875" style="1658" customWidth="1"/>
    <col min="8454" max="8454" width="11.42578125" style="1658" customWidth="1"/>
    <col min="8455" max="8455" width="9.85546875" style="1658" customWidth="1"/>
    <col min="8456" max="8456" width="10.85546875" style="1658" customWidth="1"/>
    <col min="8457" max="8457" width="10" style="1658" customWidth="1"/>
    <col min="8458" max="8458" width="8.7109375" style="1658" customWidth="1"/>
    <col min="8459" max="8459" width="9.42578125" style="1658" customWidth="1"/>
    <col min="8460" max="8460" width="9.140625" style="1658"/>
    <col min="8461" max="8462" width="12.28515625" style="1658" customWidth="1"/>
    <col min="8463" max="8704" width="9.140625" style="1658"/>
    <col min="8705" max="8705" width="13.28515625" style="1658" customWidth="1"/>
    <col min="8706" max="8706" width="41" style="1658" customWidth="1"/>
    <col min="8707" max="8707" width="12.140625" style="1658" customWidth="1"/>
    <col min="8708" max="8708" width="15.5703125" style="1658" customWidth="1"/>
    <col min="8709" max="8709" width="60.85546875" style="1658" customWidth="1"/>
    <col min="8710" max="8710" width="11.42578125" style="1658" customWidth="1"/>
    <col min="8711" max="8711" width="9.85546875" style="1658" customWidth="1"/>
    <col min="8712" max="8712" width="10.85546875" style="1658" customWidth="1"/>
    <col min="8713" max="8713" width="10" style="1658" customWidth="1"/>
    <col min="8714" max="8714" width="8.7109375" style="1658" customWidth="1"/>
    <col min="8715" max="8715" width="9.42578125" style="1658" customWidth="1"/>
    <col min="8716" max="8716" width="9.140625" style="1658"/>
    <col min="8717" max="8718" width="12.28515625" style="1658" customWidth="1"/>
    <col min="8719" max="8960" width="9.140625" style="1658"/>
    <col min="8961" max="8961" width="13.28515625" style="1658" customWidth="1"/>
    <col min="8962" max="8962" width="41" style="1658" customWidth="1"/>
    <col min="8963" max="8963" width="12.140625" style="1658" customWidth="1"/>
    <col min="8964" max="8964" width="15.5703125" style="1658" customWidth="1"/>
    <col min="8965" max="8965" width="60.85546875" style="1658" customWidth="1"/>
    <col min="8966" max="8966" width="11.42578125" style="1658" customWidth="1"/>
    <col min="8967" max="8967" width="9.85546875" style="1658" customWidth="1"/>
    <col min="8968" max="8968" width="10.85546875" style="1658" customWidth="1"/>
    <col min="8969" max="8969" width="10" style="1658" customWidth="1"/>
    <col min="8970" max="8970" width="8.7109375" style="1658" customWidth="1"/>
    <col min="8971" max="8971" width="9.42578125" style="1658" customWidth="1"/>
    <col min="8972" max="8972" width="9.140625" style="1658"/>
    <col min="8973" max="8974" width="12.28515625" style="1658" customWidth="1"/>
    <col min="8975" max="9216" width="9.140625" style="1658"/>
    <col min="9217" max="9217" width="13.28515625" style="1658" customWidth="1"/>
    <col min="9218" max="9218" width="41" style="1658" customWidth="1"/>
    <col min="9219" max="9219" width="12.140625" style="1658" customWidth="1"/>
    <col min="9220" max="9220" width="15.5703125" style="1658" customWidth="1"/>
    <col min="9221" max="9221" width="60.85546875" style="1658" customWidth="1"/>
    <col min="9222" max="9222" width="11.42578125" style="1658" customWidth="1"/>
    <col min="9223" max="9223" width="9.85546875" style="1658" customWidth="1"/>
    <col min="9224" max="9224" width="10.85546875" style="1658" customWidth="1"/>
    <col min="9225" max="9225" width="10" style="1658" customWidth="1"/>
    <col min="9226" max="9226" width="8.7109375" style="1658" customWidth="1"/>
    <col min="9227" max="9227" width="9.42578125" style="1658" customWidth="1"/>
    <col min="9228" max="9228" width="9.140625" style="1658"/>
    <col min="9229" max="9230" width="12.28515625" style="1658" customWidth="1"/>
    <col min="9231" max="9472" width="9.140625" style="1658"/>
    <col min="9473" max="9473" width="13.28515625" style="1658" customWidth="1"/>
    <col min="9474" max="9474" width="41" style="1658" customWidth="1"/>
    <col min="9475" max="9475" width="12.140625" style="1658" customWidth="1"/>
    <col min="9476" max="9476" width="15.5703125" style="1658" customWidth="1"/>
    <col min="9477" max="9477" width="60.85546875" style="1658" customWidth="1"/>
    <col min="9478" max="9478" width="11.42578125" style="1658" customWidth="1"/>
    <col min="9479" max="9479" width="9.85546875" style="1658" customWidth="1"/>
    <col min="9480" max="9480" width="10.85546875" style="1658" customWidth="1"/>
    <col min="9481" max="9481" width="10" style="1658" customWidth="1"/>
    <col min="9482" max="9482" width="8.7109375" style="1658" customWidth="1"/>
    <col min="9483" max="9483" width="9.42578125" style="1658" customWidth="1"/>
    <col min="9484" max="9484" width="9.140625" style="1658"/>
    <col min="9485" max="9486" width="12.28515625" style="1658" customWidth="1"/>
    <col min="9487" max="9728" width="9.140625" style="1658"/>
    <col min="9729" max="9729" width="13.28515625" style="1658" customWidth="1"/>
    <col min="9730" max="9730" width="41" style="1658" customWidth="1"/>
    <col min="9731" max="9731" width="12.140625" style="1658" customWidth="1"/>
    <col min="9732" max="9732" width="15.5703125" style="1658" customWidth="1"/>
    <col min="9733" max="9733" width="60.85546875" style="1658" customWidth="1"/>
    <col min="9734" max="9734" width="11.42578125" style="1658" customWidth="1"/>
    <col min="9735" max="9735" width="9.85546875" style="1658" customWidth="1"/>
    <col min="9736" max="9736" width="10.85546875" style="1658" customWidth="1"/>
    <col min="9737" max="9737" width="10" style="1658" customWidth="1"/>
    <col min="9738" max="9738" width="8.7109375" style="1658" customWidth="1"/>
    <col min="9739" max="9739" width="9.42578125" style="1658" customWidth="1"/>
    <col min="9740" max="9740" width="9.140625" style="1658"/>
    <col min="9741" max="9742" width="12.28515625" style="1658" customWidth="1"/>
    <col min="9743" max="9984" width="9.140625" style="1658"/>
    <col min="9985" max="9985" width="13.28515625" style="1658" customWidth="1"/>
    <col min="9986" max="9986" width="41" style="1658" customWidth="1"/>
    <col min="9987" max="9987" width="12.140625" style="1658" customWidth="1"/>
    <col min="9988" max="9988" width="15.5703125" style="1658" customWidth="1"/>
    <col min="9989" max="9989" width="60.85546875" style="1658" customWidth="1"/>
    <col min="9990" max="9990" width="11.42578125" style="1658" customWidth="1"/>
    <col min="9991" max="9991" width="9.85546875" style="1658" customWidth="1"/>
    <col min="9992" max="9992" width="10.85546875" style="1658" customWidth="1"/>
    <col min="9993" max="9993" width="10" style="1658" customWidth="1"/>
    <col min="9994" max="9994" width="8.7109375" style="1658" customWidth="1"/>
    <col min="9995" max="9995" width="9.42578125" style="1658" customWidth="1"/>
    <col min="9996" max="9996" width="9.140625" style="1658"/>
    <col min="9997" max="9998" width="12.28515625" style="1658" customWidth="1"/>
    <col min="9999" max="10240" width="9.140625" style="1658"/>
    <col min="10241" max="10241" width="13.28515625" style="1658" customWidth="1"/>
    <col min="10242" max="10242" width="41" style="1658" customWidth="1"/>
    <col min="10243" max="10243" width="12.140625" style="1658" customWidth="1"/>
    <col min="10244" max="10244" width="15.5703125" style="1658" customWidth="1"/>
    <col min="10245" max="10245" width="60.85546875" style="1658" customWidth="1"/>
    <col min="10246" max="10246" width="11.42578125" style="1658" customWidth="1"/>
    <col min="10247" max="10247" width="9.85546875" style="1658" customWidth="1"/>
    <col min="10248" max="10248" width="10.85546875" style="1658" customWidth="1"/>
    <col min="10249" max="10249" width="10" style="1658" customWidth="1"/>
    <col min="10250" max="10250" width="8.7109375" style="1658" customWidth="1"/>
    <col min="10251" max="10251" width="9.42578125" style="1658" customWidth="1"/>
    <col min="10252" max="10252" width="9.140625" style="1658"/>
    <col min="10253" max="10254" width="12.28515625" style="1658" customWidth="1"/>
    <col min="10255" max="10496" width="9.140625" style="1658"/>
    <col min="10497" max="10497" width="13.28515625" style="1658" customWidth="1"/>
    <col min="10498" max="10498" width="41" style="1658" customWidth="1"/>
    <col min="10499" max="10499" width="12.140625" style="1658" customWidth="1"/>
    <col min="10500" max="10500" width="15.5703125" style="1658" customWidth="1"/>
    <col min="10501" max="10501" width="60.85546875" style="1658" customWidth="1"/>
    <col min="10502" max="10502" width="11.42578125" style="1658" customWidth="1"/>
    <col min="10503" max="10503" width="9.85546875" style="1658" customWidth="1"/>
    <col min="10504" max="10504" width="10.85546875" style="1658" customWidth="1"/>
    <col min="10505" max="10505" width="10" style="1658" customWidth="1"/>
    <col min="10506" max="10506" width="8.7109375" style="1658" customWidth="1"/>
    <col min="10507" max="10507" width="9.42578125" style="1658" customWidth="1"/>
    <col min="10508" max="10508" width="9.140625" style="1658"/>
    <col min="10509" max="10510" width="12.28515625" style="1658" customWidth="1"/>
    <col min="10511" max="10752" width="9.140625" style="1658"/>
    <col min="10753" max="10753" width="13.28515625" style="1658" customWidth="1"/>
    <col min="10754" max="10754" width="41" style="1658" customWidth="1"/>
    <col min="10755" max="10755" width="12.140625" style="1658" customWidth="1"/>
    <col min="10756" max="10756" width="15.5703125" style="1658" customWidth="1"/>
    <col min="10757" max="10757" width="60.85546875" style="1658" customWidth="1"/>
    <col min="10758" max="10758" width="11.42578125" style="1658" customWidth="1"/>
    <col min="10759" max="10759" width="9.85546875" style="1658" customWidth="1"/>
    <col min="10760" max="10760" width="10.85546875" style="1658" customWidth="1"/>
    <col min="10761" max="10761" width="10" style="1658" customWidth="1"/>
    <col min="10762" max="10762" width="8.7109375" style="1658" customWidth="1"/>
    <col min="10763" max="10763" width="9.42578125" style="1658" customWidth="1"/>
    <col min="10764" max="10764" width="9.140625" style="1658"/>
    <col min="10765" max="10766" width="12.28515625" style="1658" customWidth="1"/>
    <col min="10767" max="11008" width="9.140625" style="1658"/>
    <col min="11009" max="11009" width="13.28515625" style="1658" customWidth="1"/>
    <col min="11010" max="11010" width="41" style="1658" customWidth="1"/>
    <col min="11011" max="11011" width="12.140625" style="1658" customWidth="1"/>
    <col min="11012" max="11012" width="15.5703125" style="1658" customWidth="1"/>
    <col min="11013" max="11013" width="60.85546875" style="1658" customWidth="1"/>
    <col min="11014" max="11014" width="11.42578125" style="1658" customWidth="1"/>
    <col min="11015" max="11015" width="9.85546875" style="1658" customWidth="1"/>
    <col min="11016" max="11016" width="10.85546875" style="1658" customWidth="1"/>
    <col min="11017" max="11017" width="10" style="1658" customWidth="1"/>
    <col min="11018" max="11018" width="8.7109375" style="1658" customWidth="1"/>
    <col min="11019" max="11019" width="9.42578125" style="1658" customWidth="1"/>
    <col min="11020" max="11020" width="9.140625" style="1658"/>
    <col min="11021" max="11022" width="12.28515625" style="1658" customWidth="1"/>
    <col min="11023" max="11264" width="9.140625" style="1658"/>
    <col min="11265" max="11265" width="13.28515625" style="1658" customWidth="1"/>
    <col min="11266" max="11266" width="41" style="1658" customWidth="1"/>
    <col min="11267" max="11267" width="12.140625" style="1658" customWidth="1"/>
    <col min="11268" max="11268" width="15.5703125" style="1658" customWidth="1"/>
    <col min="11269" max="11269" width="60.85546875" style="1658" customWidth="1"/>
    <col min="11270" max="11270" width="11.42578125" style="1658" customWidth="1"/>
    <col min="11271" max="11271" width="9.85546875" style="1658" customWidth="1"/>
    <col min="11272" max="11272" width="10.85546875" style="1658" customWidth="1"/>
    <col min="11273" max="11273" width="10" style="1658" customWidth="1"/>
    <col min="11274" max="11274" width="8.7109375" style="1658" customWidth="1"/>
    <col min="11275" max="11275" width="9.42578125" style="1658" customWidth="1"/>
    <col min="11276" max="11276" width="9.140625" style="1658"/>
    <col min="11277" max="11278" width="12.28515625" style="1658" customWidth="1"/>
    <col min="11279" max="11520" width="9.140625" style="1658"/>
    <col min="11521" max="11521" width="13.28515625" style="1658" customWidth="1"/>
    <col min="11522" max="11522" width="41" style="1658" customWidth="1"/>
    <col min="11523" max="11523" width="12.140625" style="1658" customWidth="1"/>
    <col min="11524" max="11524" width="15.5703125" style="1658" customWidth="1"/>
    <col min="11525" max="11525" width="60.85546875" style="1658" customWidth="1"/>
    <col min="11526" max="11526" width="11.42578125" style="1658" customWidth="1"/>
    <col min="11527" max="11527" width="9.85546875" style="1658" customWidth="1"/>
    <col min="11528" max="11528" width="10.85546875" style="1658" customWidth="1"/>
    <col min="11529" max="11529" width="10" style="1658" customWidth="1"/>
    <col min="11530" max="11530" width="8.7109375" style="1658" customWidth="1"/>
    <col min="11531" max="11531" width="9.42578125" style="1658" customWidth="1"/>
    <col min="11532" max="11532" width="9.140625" style="1658"/>
    <col min="11533" max="11534" width="12.28515625" style="1658" customWidth="1"/>
    <col min="11535" max="11776" width="9.140625" style="1658"/>
    <col min="11777" max="11777" width="13.28515625" style="1658" customWidth="1"/>
    <col min="11778" max="11778" width="41" style="1658" customWidth="1"/>
    <col min="11779" max="11779" width="12.140625" style="1658" customWidth="1"/>
    <col min="11780" max="11780" width="15.5703125" style="1658" customWidth="1"/>
    <col min="11781" max="11781" width="60.85546875" style="1658" customWidth="1"/>
    <col min="11782" max="11782" width="11.42578125" style="1658" customWidth="1"/>
    <col min="11783" max="11783" width="9.85546875" style="1658" customWidth="1"/>
    <col min="11784" max="11784" width="10.85546875" style="1658" customWidth="1"/>
    <col min="11785" max="11785" width="10" style="1658" customWidth="1"/>
    <col min="11786" max="11786" width="8.7109375" style="1658" customWidth="1"/>
    <col min="11787" max="11787" width="9.42578125" style="1658" customWidth="1"/>
    <col min="11788" max="11788" width="9.140625" style="1658"/>
    <col min="11789" max="11790" width="12.28515625" style="1658" customWidth="1"/>
    <col min="11791" max="12032" width="9.140625" style="1658"/>
    <col min="12033" max="12033" width="13.28515625" style="1658" customWidth="1"/>
    <col min="12034" max="12034" width="41" style="1658" customWidth="1"/>
    <col min="12035" max="12035" width="12.140625" style="1658" customWidth="1"/>
    <col min="12036" max="12036" width="15.5703125" style="1658" customWidth="1"/>
    <col min="12037" max="12037" width="60.85546875" style="1658" customWidth="1"/>
    <col min="12038" max="12038" width="11.42578125" style="1658" customWidth="1"/>
    <col min="12039" max="12039" width="9.85546875" style="1658" customWidth="1"/>
    <col min="12040" max="12040" width="10.85546875" style="1658" customWidth="1"/>
    <col min="12041" max="12041" width="10" style="1658" customWidth="1"/>
    <col min="12042" max="12042" width="8.7109375" style="1658" customWidth="1"/>
    <col min="12043" max="12043" width="9.42578125" style="1658" customWidth="1"/>
    <col min="12044" max="12044" width="9.140625" style="1658"/>
    <col min="12045" max="12046" width="12.28515625" style="1658" customWidth="1"/>
    <col min="12047" max="12288" width="9.140625" style="1658"/>
    <col min="12289" max="12289" width="13.28515625" style="1658" customWidth="1"/>
    <col min="12290" max="12290" width="41" style="1658" customWidth="1"/>
    <col min="12291" max="12291" width="12.140625" style="1658" customWidth="1"/>
    <col min="12292" max="12292" width="15.5703125" style="1658" customWidth="1"/>
    <col min="12293" max="12293" width="60.85546875" style="1658" customWidth="1"/>
    <col min="12294" max="12294" width="11.42578125" style="1658" customWidth="1"/>
    <col min="12295" max="12295" width="9.85546875" style="1658" customWidth="1"/>
    <col min="12296" max="12296" width="10.85546875" style="1658" customWidth="1"/>
    <col min="12297" max="12297" width="10" style="1658" customWidth="1"/>
    <col min="12298" max="12298" width="8.7109375" style="1658" customWidth="1"/>
    <col min="12299" max="12299" width="9.42578125" style="1658" customWidth="1"/>
    <col min="12300" max="12300" width="9.140625" style="1658"/>
    <col min="12301" max="12302" width="12.28515625" style="1658" customWidth="1"/>
    <col min="12303" max="12544" width="9.140625" style="1658"/>
    <col min="12545" max="12545" width="13.28515625" style="1658" customWidth="1"/>
    <col min="12546" max="12546" width="41" style="1658" customWidth="1"/>
    <col min="12547" max="12547" width="12.140625" style="1658" customWidth="1"/>
    <col min="12548" max="12548" width="15.5703125" style="1658" customWidth="1"/>
    <col min="12549" max="12549" width="60.85546875" style="1658" customWidth="1"/>
    <col min="12550" max="12550" width="11.42578125" style="1658" customWidth="1"/>
    <col min="12551" max="12551" width="9.85546875" style="1658" customWidth="1"/>
    <col min="12552" max="12552" width="10.85546875" style="1658" customWidth="1"/>
    <col min="12553" max="12553" width="10" style="1658" customWidth="1"/>
    <col min="12554" max="12554" width="8.7109375" style="1658" customWidth="1"/>
    <col min="12555" max="12555" width="9.42578125" style="1658" customWidth="1"/>
    <col min="12556" max="12556" width="9.140625" style="1658"/>
    <col min="12557" max="12558" width="12.28515625" style="1658" customWidth="1"/>
    <col min="12559" max="12800" width="9.140625" style="1658"/>
    <col min="12801" max="12801" width="13.28515625" style="1658" customWidth="1"/>
    <col min="12802" max="12802" width="41" style="1658" customWidth="1"/>
    <col min="12803" max="12803" width="12.140625" style="1658" customWidth="1"/>
    <col min="12804" max="12804" width="15.5703125" style="1658" customWidth="1"/>
    <col min="12805" max="12805" width="60.85546875" style="1658" customWidth="1"/>
    <col min="12806" max="12806" width="11.42578125" style="1658" customWidth="1"/>
    <col min="12807" max="12807" width="9.85546875" style="1658" customWidth="1"/>
    <col min="12808" max="12808" width="10.85546875" style="1658" customWidth="1"/>
    <col min="12809" max="12809" width="10" style="1658" customWidth="1"/>
    <col min="12810" max="12810" width="8.7109375" style="1658" customWidth="1"/>
    <col min="12811" max="12811" width="9.42578125" style="1658" customWidth="1"/>
    <col min="12812" max="12812" width="9.140625" style="1658"/>
    <col min="12813" max="12814" width="12.28515625" style="1658" customWidth="1"/>
    <col min="12815" max="13056" width="9.140625" style="1658"/>
    <col min="13057" max="13057" width="13.28515625" style="1658" customWidth="1"/>
    <col min="13058" max="13058" width="41" style="1658" customWidth="1"/>
    <col min="13059" max="13059" width="12.140625" style="1658" customWidth="1"/>
    <col min="13060" max="13060" width="15.5703125" style="1658" customWidth="1"/>
    <col min="13061" max="13061" width="60.85546875" style="1658" customWidth="1"/>
    <col min="13062" max="13062" width="11.42578125" style="1658" customWidth="1"/>
    <col min="13063" max="13063" width="9.85546875" style="1658" customWidth="1"/>
    <col min="13064" max="13064" width="10.85546875" style="1658" customWidth="1"/>
    <col min="13065" max="13065" width="10" style="1658" customWidth="1"/>
    <col min="13066" max="13066" width="8.7109375" style="1658" customWidth="1"/>
    <col min="13067" max="13067" width="9.42578125" style="1658" customWidth="1"/>
    <col min="13068" max="13068" width="9.140625" style="1658"/>
    <col min="13069" max="13070" width="12.28515625" style="1658" customWidth="1"/>
    <col min="13071" max="13312" width="9.140625" style="1658"/>
    <col min="13313" max="13313" width="13.28515625" style="1658" customWidth="1"/>
    <col min="13314" max="13314" width="41" style="1658" customWidth="1"/>
    <col min="13315" max="13315" width="12.140625" style="1658" customWidth="1"/>
    <col min="13316" max="13316" width="15.5703125" style="1658" customWidth="1"/>
    <col min="13317" max="13317" width="60.85546875" style="1658" customWidth="1"/>
    <col min="13318" max="13318" width="11.42578125" style="1658" customWidth="1"/>
    <col min="13319" max="13319" width="9.85546875" style="1658" customWidth="1"/>
    <col min="13320" max="13320" width="10.85546875" style="1658" customWidth="1"/>
    <col min="13321" max="13321" width="10" style="1658" customWidth="1"/>
    <col min="13322" max="13322" width="8.7109375" style="1658" customWidth="1"/>
    <col min="13323" max="13323" width="9.42578125" style="1658" customWidth="1"/>
    <col min="13324" max="13324" width="9.140625" style="1658"/>
    <col min="13325" max="13326" width="12.28515625" style="1658" customWidth="1"/>
    <col min="13327" max="13568" width="9.140625" style="1658"/>
    <col min="13569" max="13569" width="13.28515625" style="1658" customWidth="1"/>
    <col min="13570" max="13570" width="41" style="1658" customWidth="1"/>
    <col min="13571" max="13571" width="12.140625" style="1658" customWidth="1"/>
    <col min="13572" max="13572" width="15.5703125" style="1658" customWidth="1"/>
    <col min="13573" max="13573" width="60.85546875" style="1658" customWidth="1"/>
    <col min="13574" max="13574" width="11.42578125" style="1658" customWidth="1"/>
    <col min="13575" max="13575" width="9.85546875" style="1658" customWidth="1"/>
    <col min="13576" max="13576" width="10.85546875" style="1658" customWidth="1"/>
    <col min="13577" max="13577" width="10" style="1658" customWidth="1"/>
    <col min="13578" max="13578" width="8.7109375" style="1658" customWidth="1"/>
    <col min="13579" max="13579" width="9.42578125" style="1658" customWidth="1"/>
    <col min="13580" max="13580" width="9.140625" style="1658"/>
    <col min="13581" max="13582" width="12.28515625" style="1658" customWidth="1"/>
    <col min="13583" max="13824" width="9.140625" style="1658"/>
    <col min="13825" max="13825" width="13.28515625" style="1658" customWidth="1"/>
    <col min="13826" max="13826" width="41" style="1658" customWidth="1"/>
    <col min="13827" max="13827" width="12.140625" style="1658" customWidth="1"/>
    <col min="13828" max="13828" width="15.5703125" style="1658" customWidth="1"/>
    <col min="13829" max="13829" width="60.85546875" style="1658" customWidth="1"/>
    <col min="13830" max="13830" width="11.42578125" style="1658" customWidth="1"/>
    <col min="13831" max="13831" width="9.85546875" style="1658" customWidth="1"/>
    <col min="13832" max="13832" width="10.85546875" style="1658" customWidth="1"/>
    <col min="13833" max="13833" width="10" style="1658" customWidth="1"/>
    <col min="13834" max="13834" width="8.7109375" style="1658" customWidth="1"/>
    <col min="13835" max="13835" width="9.42578125" style="1658" customWidth="1"/>
    <col min="13836" max="13836" width="9.140625" style="1658"/>
    <col min="13837" max="13838" width="12.28515625" style="1658" customWidth="1"/>
    <col min="13839" max="14080" width="9.140625" style="1658"/>
    <col min="14081" max="14081" width="13.28515625" style="1658" customWidth="1"/>
    <col min="14082" max="14082" width="41" style="1658" customWidth="1"/>
    <col min="14083" max="14083" width="12.140625" style="1658" customWidth="1"/>
    <col min="14084" max="14084" width="15.5703125" style="1658" customWidth="1"/>
    <col min="14085" max="14085" width="60.85546875" style="1658" customWidth="1"/>
    <col min="14086" max="14086" width="11.42578125" style="1658" customWidth="1"/>
    <col min="14087" max="14087" width="9.85546875" style="1658" customWidth="1"/>
    <col min="14088" max="14088" width="10.85546875" style="1658" customWidth="1"/>
    <col min="14089" max="14089" width="10" style="1658" customWidth="1"/>
    <col min="14090" max="14090" width="8.7109375" style="1658" customWidth="1"/>
    <col min="14091" max="14091" width="9.42578125" style="1658" customWidth="1"/>
    <col min="14092" max="14092" width="9.140625" style="1658"/>
    <col min="14093" max="14094" width="12.28515625" style="1658" customWidth="1"/>
    <col min="14095" max="14336" width="9.140625" style="1658"/>
    <col min="14337" max="14337" width="13.28515625" style="1658" customWidth="1"/>
    <col min="14338" max="14338" width="41" style="1658" customWidth="1"/>
    <col min="14339" max="14339" width="12.140625" style="1658" customWidth="1"/>
    <col min="14340" max="14340" width="15.5703125" style="1658" customWidth="1"/>
    <col min="14341" max="14341" width="60.85546875" style="1658" customWidth="1"/>
    <col min="14342" max="14342" width="11.42578125" style="1658" customWidth="1"/>
    <col min="14343" max="14343" width="9.85546875" style="1658" customWidth="1"/>
    <col min="14344" max="14344" width="10.85546875" style="1658" customWidth="1"/>
    <col min="14345" max="14345" width="10" style="1658" customWidth="1"/>
    <col min="14346" max="14346" width="8.7109375" style="1658" customWidth="1"/>
    <col min="14347" max="14347" width="9.42578125" style="1658" customWidth="1"/>
    <col min="14348" max="14348" width="9.140625" style="1658"/>
    <col min="14349" max="14350" width="12.28515625" style="1658" customWidth="1"/>
    <col min="14351" max="14592" width="9.140625" style="1658"/>
    <col min="14593" max="14593" width="13.28515625" style="1658" customWidth="1"/>
    <col min="14594" max="14594" width="41" style="1658" customWidth="1"/>
    <col min="14595" max="14595" width="12.140625" style="1658" customWidth="1"/>
    <col min="14596" max="14596" width="15.5703125" style="1658" customWidth="1"/>
    <col min="14597" max="14597" width="60.85546875" style="1658" customWidth="1"/>
    <col min="14598" max="14598" width="11.42578125" style="1658" customWidth="1"/>
    <col min="14599" max="14599" width="9.85546875" style="1658" customWidth="1"/>
    <col min="14600" max="14600" width="10.85546875" style="1658" customWidth="1"/>
    <col min="14601" max="14601" width="10" style="1658" customWidth="1"/>
    <col min="14602" max="14602" width="8.7109375" style="1658" customWidth="1"/>
    <col min="14603" max="14603" width="9.42578125" style="1658" customWidth="1"/>
    <col min="14604" max="14604" width="9.140625" style="1658"/>
    <col min="14605" max="14606" width="12.28515625" style="1658" customWidth="1"/>
    <col min="14607" max="14848" width="9.140625" style="1658"/>
    <col min="14849" max="14849" width="13.28515625" style="1658" customWidth="1"/>
    <col min="14850" max="14850" width="41" style="1658" customWidth="1"/>
    <col min="14851" max="14851" width="12.140625" style="1658" customWidth="1"/>
    <col min="14852" max="14852" width="15.5703125" style="1658" customWidth="1"/>
    <col min="14853" max="14853" width="60.85546875" style="1658" customWidth="1"/>
    <col min="14854" max="14854" width="11.42578125" style="1658" customWidth="1"/>
    <col min="14855" max="14855" width="9.85546875" style="1658" customWidth="1"/>
    <col min="14856" max="14856" width="10.85546875" style="1658" customWidth="1"/>
    <col min="14857" max="14857" width="10" style="1658" customWidth="1"/>
    <col min="14858" max="14858" width="8.7109375" style="1658" customWidth="1"/>
    <col min="14859" max="14859" width="9.42578125" style="1658" customWidth="1"/>
    <col min="14860" max="14860" width="9.140625" style="1658"/>
    <col min="14861" max="14862" width="12.28515625" style="1658" customWidth="1"/>
    <col min="14863" max="15104" width="9.140625" style="1658"/>
    <col min="15105" max="15105" width="13.28515625" style="1658" customWidth="1"/>
    <col min="15106" max="15106" width="41" style="1658" customWidth="1"/>
    <col min="15107" max="15107" width="12.140625" style="1658" customWidth="1"/>
    <col min="15108" max="15108" width="15.5703125" style="1658" customWidth="1"/>
    <col min="15109" max="15109" width="60.85546875" style="1658" customWidth="1"/>
    <col min="15110" max="15110" width="11.42578125" style="1658" customWidth="1"/>
    <col min="15111" max="15111" width="9.85546875" style="1658" customWidth="1"/>
    <col min="15112" max="15112" width="10.85546875" style="1658" customWidth="1"/>
    <col min="15113" max="15113" width="10" style="1658" customWidth="1"/>
    <col min="15114" max="15114" width="8.7109375" style="1658" customWidth="1"/>
    <col min="15115" max="15115" width="9.42578125" style="1658" customWidth="1"/>
    <col min="15116" max="15116" width="9.140625" style="1658"/>
    <col min="15117" max="15118" width="12.28515625" style="1658" customWidth="1"/>
    <col min="15119" max="15360" width="9.140625" style="1658"/>
    <col min="15361" max="15361" width="13.28515625" style="1658" customWidth="1"/>
    <col min="15362" max="15362" width="41" style="1658" customWidth="1"/>
    <col min="15363" max="15363" width="12.140625" style="1658" customWidth="1"/>
    <col min="15364" max="15364" width="15.5703125" style="1658" customWidth="1"/>
    <col min="15365" max="15365" width="60.85546875" style="1658" customWidth="1"/>
    <col min="15366" max="15366" width="11.42578125" style="1658" customWidth="1"/>
    <col min="15367" max="15367" width="9.85546875" style="1658" customWidth="1"/>
    <col min="15368" max="15368" width="10.85546875" style="1658" customWidth="1"/>
    <col min="15369" max="15369" width="10" style="1658" customWidth="1"/>
    <col min="15370" max="15370" width="8.7109375" style="1658" customWidth="1"/>
    <col min="15371" max="15371" width="9.42578125" style="1658" customWidth="1"/>
    <col min="15372" max="15372" width="9.140625" style="1658"/>
    <col min="15373" max="15374" width="12.28515625" style="1658" customWidth="1"/>
    <col min="15375" max="15616" width="9.140625" style="1658"/>
    <col min="15617" max="15617" width="13.28515625" style="1658" customWidth="1"/>
    <col min="15618" max="15618" width="41" style="1658" customWidth="1"/>
    <col min="15619" max="15619" width="12.140625" style="1658" customWidth="1"/>
    <col min="15620" max="15620" width="15.5703125" style="1658" customWidth="1"/>
    <col min="15621" max="15621" width="60.85546875" style="1658" customWidth="1"/>
    <col min="15622" max="15622" width="11.42578125" style="1658" customWidth="1"/>
    <col min="15623" max="15623" width="9.85546875" style="1658" customWidth="1"/>
    <col min="15624" max="15624" width="10.85546875" style="1658" customWidth="1"/>
    <col min="15625" max="15625" width="10" style="1658" customWidth="1"/>
    <col min="15626" max="15626" width="8.7109375" style="1658" customWidth="1"/>
    <col min="15627" max="15627" width="9.42578125" style="1658" customWidth="1"/>
    <col min="15628" max="15628" width="9.140625" style="1658"/>
    <col min="15629" max="15630" width="12.28515625" style="1658" customWidth="1"/>
    <col min="15631" max="15872" width="9.140625" style="1658"/>
    <col min="15873" max="15873" width="13.28515625" style="1658" customWidth="1"/>
    <col min="15874" max="15874" width="41" style="1658" customWidth="1"/>
    <col min="15875" max="15875" width="12.140625" style="1658" customWidth="1"/>
    <col min="15876" max="15876" width="15.5703125" style="1658" customWidth="1"/>
    <col min="15877" max="15877" width="60.85546875" style="1658" customWidth="1"/>
    <col min="15878" max="15878" width="11.42578125" style="1658" customWidth="1"/>
    <col min="15879" max="15879" width="9.85546875" style="1658" customWidth="1"/>
    <col min="15880" max="15880" width="10.85546875" style="1658" customWidth="1"/>
    <col min="15881" max="15881" width="10" style="1658" customWidth="1"/>
    <col min="15882" max="15882" width="8.7109375" style="1658" customWidth="1"/>
    <col min="15883" max="15883" width="9.42578125" style="1658" customWidth="1"/>
    <col min="15884" max="15884" width="9.140625" style="1658"/>
    <col min="15885" max="15886" width="12.28515625" style="1658" customWidth="1"/>
    <col min="15887" max="16128" width="9.140625" style="1658"/>
    <col min="16129" max="16129" width="13.28515625" style="1658" customWidth="1"/>
    <col min="16130" max="16130" width="41" style="1658" customWidth="1"/>
    <col min="16131" max="16131" width="12.140625" style="1658" customWidth="1"/>
    <col min="16132" max="16132" width="15.5703125" style="1658" customWidth="1"/>
    <col min="16133" max="16133" width="60.85546875" style="1658" customWidth="1"/>
    <col min="16134" max="16134" width="11.42578125" style="1658" customWidth="1"/>
    <col min="16135" max="16135" width="9.85546875" style="1658" customWidth="1"/>
    <col min="16136" max="16136" width="10.85546875" style="1658" customWidth="1"/>
    <col min="16137" max="16137" width="10" style="1658" customWidth="1"/>
    <col min="16138" max="16138" width="8.7109375" style="1658" customWidth="1"/>
    <col min="16139" max="16139" width="9.42578125" style="1658" customWidth="1"/>
    <col min="16140" max="16140" width="9.140625" style="1658"/>
    <col min="16141" max="16142" width="12.28515625" style="1658" customWidth="1"/>
    <col min="16143" max="16384" width="9.140625" style="1658"/>
  </cols>
  <sheetData>
    <row r="1" spans="1:15" ht="12.75" x14ac:dyDescent="0.2">
      <c r="A1" s="2266"/>
      <c r="B1" s="2267"/>
      <c r="C1" s="2267"/>
      <c r="D1" s="2267"/>
      <c r="E1" s="2267"/>
      <c r="F1" s="2267"/>
      <c r="G1" s="2267"/>
      <c r="L1" s="2268"/>
      <c r="M1" s="3049"/>
      <c r="N1" s="3049"/>
      <c r="O1" s="2267"/>
    </row>
    <row r="2" spans="1:15" ht="12.75" x14ac:dyDescent="0.2">
      <c r="A2" s="2242"/>
      <c r="B2" s="2242"/>
      <c r="C2" s="2267"/>
      <c r="D2" s="2267"/>
      <c r="E2" s="2267"/>
      <c r="F2" s="2267"/>
      <c r="G2" s="2267"/>
      <c r="L2" s="2268"/>
      <c r="M2" s="3050"/>
      <c r="N2" s="3050"/>
      <c r="O2" s="2267"/>
    </row>
    <row r="3" spans="1:15" ht="18.75" customHeight="1" x14ac:dyDescent="0.2">
      <c r="A3" s="2269"/>
      <c r="B3" s="2269"/>
      <c r="C3" s="2269"/>
      <c r="D3" s="2269"/>
      <c r="E3" s="2269"/>
      <c r="F3" s="2269"/>
      <c r="G3" s="2269"/>
      <c r="H3" s="2269"/>
      <c r="I3" s="2269"/>
      <c r="J3" s="2269"/>
      <c r="K3" s="2269"/>
      <c r="L3" s="2242"/>
      <c r="M3" s="2242"/>
      <c r="N3" s="2242"/>
    </row>
    <row r="4" spans="1:15" ht="18" customHeight="1" thickBot="1" x14ac:dyDescent="0.3">
      <c r="A4" s="3051" t="s">
        <v>3323</v>
      </c>
      <c r="B4" s="3051"/>
      <c r="C4" s="3051"/>
      <c r="D4" s="3051"/>
      <c r="E4" s="3051"/>
      <c r="F4" s="3051"/>
      <c r="G4" s="3051"/>
      <c r="H4" s="3051"/>
      <c r="I4" s="3051"/>
      <c r="J4" s="3051"/>
      <c r="K4" s="3051"/>
      <c r="L4" s="3051"/>
      <c r="M4" s="3051"/>
      <c r="N4" s="3051"/>
    </row>
    <row r="5" spans="1:15" ht="15.75" x14ac:dyDescent="0.2">
      <c r="A5" s="1688"/>
      <c r="B5" s="2242"/>
      <c r="C5" s="2242"/>
      <c r="D5" s="2242"/>
      <c r="E5" s="2242"/>
      <c r="F5" s="2242"/>
      <c r="G5" s="2242"/>
      <c r="H5" s="2242"/>
      <c r="I5" s="2242"/>
      <c r="J5" s="2244"/>
      <c r="K5" s="2244"/>
      <c r="L5" s="2303" t="s">
        <v>1</v>
      </c>
      <c r="M5" s="3052">
        <v>42380</v>
      </c>
      <c r="N5" s="3052"/>
    </row>
    <row r="6" spans="1:15" s="2270" customFormat="1" ht="15.75" x14ac:dyDescent="0.2">
      <c r="A6" s="3053"/>
      <c r="B6" s="3054" t="s">
        <v>399</v>
      </c>
      <c r="C6" s="3048" t="s">
        <v>3310</v>
      </c>
      <c r="D6" s="3048" t="s">
        <v>1503</v>
      </c>
      <c r="E6" s="3048" t="s">
        <v>3259</v>
      </c>
      <c r="F6" s="3048" t="s">
        <v>3260</v>
      </c>
      <c r="G6" s="3048" t="s">
        <v>2251</v>
      </c>
      <c r="H6" s="3048"/>
      <c r="I6" s="3048"/>
      <c r="J6" s="3048" t="s">
        <v>3261</v>
      </c>
      <c r="K6" s="3048" t="s">
        <v>3263</v>
      </c>
      <c r="L6" s="3048" t="s">
        <v>3262</v>
      </c>
      <c r="M6" s="3048" t="s">
        <v>3264</v>
      </c>
      <c r="N6" s="3048" t="s">
        <v>3265</v>
      </c>
    </row>
    <row r="7" spans="1:15" s="2270" customFormat="1" ht="15.75" x14ac:dyDescent="0.25">
      <c r="A7" s="3053"/>
      <c r="B7" s="3055"/>
      <c r="C7" s="3048"/>
      <c r="D7" s="3048"/>
      <c r="E7" s="3048"/>
      <c r="F7" s="3048"/>
      <c r="G7" s="2297" t="s">
        <v>3266</v>
      </c>
      <c r="H7" s="2298" t="s">
        <v>3267</v>
      </c>
      <c r="I7" s="2298" t="s">
        <v>1904</v>
      </c>
      <c r="J7" s="3048"/>
      <c r="K7" s="3048"/>
      <c r="L7" s="3048"/>
      <c r="M7" s="3048"/>
      <c r="N7" s="3048"/>
    </row>
    <row r="8" spans="1:15" s="2270" customFormat="1" ht="23.25" customHeight="1" x14ac:dyDescent="0.2">
      <c r="A8" s="3045" t="s">
        <v>3311</v>
      </c>
      <c r="B8" s="3046" t="s">
        <v>3271</v>
      </c>
      <c r="C8" s="3047" t="s">
        <v>3312</v>
      </c>
      <c r="D8" s="3047" t="s">
        <v>3313</v>
      </c>
      <c r="E8" s="3040" t="s">
        <v>3314</v>
      </c>
      <c r="F8" s="3041">
        <v>27</v>
      </c>
      <c r="G8" s="2285">
        <v>1000</v>
      </c>
      <c r="H8" s="2285">
        <v>600</v>
      </c>
      <c r="I8" s="2285">
        <v>50</v>
      </c>
      <c r="J8" s="2285">
        <v>12</v>
      </c>
      <c r="K8" s="2286">
        <v>0.36</v>
      </c>
      <c r="L8" s="2286" t="s">
        <v>3272</v>
      </c>
      <c r="M8" s="2271">
        <v>1334</v>
      </c>
      <c r="N8" s="2272">
        <v>480</v>
      </c>
    </row>
    <row r="9" spans="1:15" s="2270" customFormat="1" ht="23.25" customHeight="1" x14ac:dyDescent="0.2">
      <c r="A9" s="3045"/>
      <c r="B9" s="3046"/>
      <c r="C9" s="3047"/>
      <c r="D9" s="3047"/>
      <c r="E9" s="3040"/>
      <c r="F9" s="3041"/>
      <c r="G9" s="2285">
        <v>1000</v>
      </c>
      <c r="H9" s="2285">
        <v>600</v>
      </c>
      <c r="I9" s="2285">
        <v>100</v>
      </c>
      <c r="J9" s="2285">
        <v>6</v>
      </c>
      <c r="K9" s="2286">
        <v>0.36</v>
      </c>
      <c r="L9" s="2286" t="s">
        <v>3273</v>
      </c>
      <c r="M9" s="2271">
        <v>1334</v>
      </c>
      <c r="N9" s="2272">
        <v>480</v>
      </c>
    </row>
    <row r="10" spans="1:15" s="2270" customFormat="1" ht="30.75" customHeight="1" x14ac:dyDescent="0.2">
      <c r="A10" s="3045"/>
      <c r="B10" s="2273" t="s">
        <v>3279</v>
      </c>
      <c r="C10" s="2281" t="s">
        <v>3312</v>
      </c>
      <c r="D10" s="2281" t="s">
        <v>3315</v>
      </c>
      <c r="E10" s="2282" t="s">
        <v>3316</v>
      </c>
      <c r="F10" s="2281">
        <v>18</v>
      </c>
      <c r="G10" s="2281">
        <v>1230</v>
      </c>
      <c r="H10" s="2281">
        <v>610</v>
      </c>
      <c r="I10" s="2281">
        <v>50</v>
      </c>
      <c r="J10" s="2281">
        <v>16</v>
      </c>
      <c r="K10" s="2287" t="s">
        <v>3324</v>
      </c>
      <c r="L10" s="2287" t="s">
        <v>3325</v>
      </c>
      <c r="M10" s="2274">
        <v>1500</v>
      </c>
      <c r="N10" s="2274">
        <f>M10*0.6</f>
        <v>900</v>
      </c>
    </row>
    <row r="11" spans="1:15" s="2270" customFormat="1" ht="30" customHeight="1" x14ac:dyDescent="0.2">
      <c r="A11" s="3045"/>
      <c r="B11" s="2273" t="s">
        <v>3280</v>
      </c>
      <c r="C11" s="2283" t="s">
        <v>3312</v>
      </c>
      <c r="D11" s="2281" t="s">
        <v>3315</v>
      </c>
      <c r="E11" s="2282" t="s">
        <v>3316</v>
      </c>
      <c r="F11" s="2281">
        <v>18</v>
      </c>
      <c r="G11" s="2283">
        <v>1230</v>
      </c>
      <c r="H11" s="2283">
        <v>610</v>
      </c>
      <c r="I11" s="2283">
        <v>50</v>
      </c>
      <c r="J11" s="2283">
        <v>24</v>
      </c>
      <c r="K11" s="2287" t="s">
        <v>3326</v>
      </c>
      <c r="L11" s="2287" t="s">
        <v>3327</v>
      </c>
      <c r="M11" s="2275">
        <v>1500</v>
      </c>
      <c r="N11" s="2275">
        <f>M11*0.9</f>
        <v>1350</v>
      </c>
    </row>
    <row r="12" spans="1:15" s="2270" customFormat="1" ht="30.75" customHeight="1" x14ac:dyDescent="0.2">
      <c r="A12" s="3045"/>
      <c r="B12" s="2273" t="s">
        <v>3281</v>
      </c>
      <c r="C12" s="2283" t="s">
        <v>3312</v>
      </c>
      <c r="D12" s="2281" t="s">
        <v>3315</v>
      </c>
      <c r="E12" s="2282" t="s">
        <v>3316</v>
      </c>
      <c r="F12" s="2281">
        <v>18</v>
      </c>
      <c r="G12" s="2283">
        <v>1230</v>
      </c>
      <c r="H12" s="2283">
        <v>610</v>
      </c>
      <c r="I12" s="2283">
        <v>100</v>
      </c>
      <c r="J12" s="2283">
        <v>12</v>
      </c>
      <c r="K12" s="2287" t="s">
        <v>3326</v>
      </c>
      <c r="L12" s="2287" t="s">
        <v>3328</v>
      </c>
      <c r="M12" s="2275">
        <v>1540</v>
      </c>
      <c r="N12" s="2275">
        <f>M12*0.9</f>
        <v>1386</v>
      </c>
    </row>
    <row r="13" spans="1:15" s="2270" customFormat="1" ht="30.75" customHeight="1" x14ac:dyDescent="0.2">
      <c r="A13" s="3045"/>
      <c r="B13" s="2273" t="s">
        <v>3282</v>
      </c>
      <c r="C13" s="2283" t="s">
        <v>602</v>
      </c>
      <c r="D13" s="2281" t="s">
        <v>3315</v>
      </c>
      <c r="E13" s="2282" t="s">
        <v>3316</v>
      </c>
      <c r="F13" s="2281">
        <v>18</v>
      </c>
      <c r="G13" s="2283">
        <v>6148</v>
      </c>
      <c r="H13" s="2283">
        <v>1220</v>
      </c>
      <c r="I13" s="2283">
        <v>50</v>
      </c>
      <c r="J13" s="2283">
        <v>2</v>
      </c>
      <c r="K13" s="2287" t="s">
        <v>3329</v>
      </c>
      <c r="L13" s="2288" t="s">
        <v>3330</v>
      </c>
      <c r="M13" s="2275">
        <v>1680</v>
      </c>
      <c r="N13" s="2275">
        <f>M13*0.75</f>
        <v>1260</v>
      </c>
    </row>
    <row r="14" spans="1:15" s="2270" customFormat="1" ht="30" customHeight="1" x14ac:dyDescent="0.2">
      <c r="A14" s="3045"/>
      <c r="B14" s="3046" t="s">
        <v>3268</v>
      </c>
      <c r="C14" s="3047" t="s">
        <v>3312</v>
      </c>
      <c r="D14" s="3047" t="s">
        <v>3313</v>
      </c>
      <c r="E14" s="3040" t="s">
        <v>3317</v>
      </c>
      <c r="F14" s="3041">
        <v>35</v>
      </c>
      <c r="G14" s="2285">
        <v>800</v>
      </c>
      <c r="H14" s="2285">
        <v>600</v>
      </c>
      <c r="I14" s="2285">
        <v>50</v>
      </c>
      <c r="J14" s="2285">
        <v>12</v>
      </c>
      <c r="K14" s="2286">
        <v>0.28799999999999998</v>
      </c>
      <c r="L14" s="2287" t="s">
        <v>3269</v>
      </c>
      <c r="M14" s="2276">
        <v>1876</v>
      </c>
      <c r="N14" s="2272">
        <f t="shared" ref="N14:N20" si="0">M14*K14</f>
        <v>540.28800000000001</v>
      </c>
    </row>
    <row r="15" spans="1:15" s="2270" customFormat="1" ht="30" customHeight="1" x14ac:dyDescent="0.2">
      <c r="A15" s="3045"/>
      <c r="B15" s="3046"/>
      <c r="C15" s="3047"/>
      <c r="D15" s="3047"/>
      <c r="E15" s="3040"/>
      <c r="F15" s="3041"/>
      <c r="G15" s="2285">
        <v>800</v>
      </c>
      <c r="H15" s="2285">
        <v>600</v>
      </c>
      <c r="I15" s="2285">
        <v>100</v>
      </c>
      <c r="J15" s="2285">
        <v>6</v>
      </c>
      <c r="K15" s="2286">
        <v>0.28799999999999998</v>
      </c>
      <c r="L15" s="2286" t="s">
        <v>3270</v>
      </c>
      <c r="M15" s="2276">
        <v>1876</v>
      </c>
      <c r="N15" s="2272">
        <f t="shared" si="0"/>
        <v>540.28800000000001</v>
      </c>
    </row>
    <row r="16" spans="1:15" s="2270" customFormat="1" ht="15.75" x14ac:dyDescent="0.2">
      <c r="A16" s="3045"/>
      <c r="B16" s="3042" t="s">
        <v>3274</v>
      </c>
      <c r="C16" s="2284" t="s">
        <v>3312</v>
      </c>
      <c r="D16" s="3036" t="s">
        <v>3318</v>
      </c>
      <c r="E16" s="3043" t="s">
        <v>3314</v>
      </c>
      <c r="F16" s="3044">
        <v>45</v>
      </c>
      <c r="G16" s="2289">
        <v>1200</v>
      </c>
      <c r="H16" s="2289">
        <v>600</v>
      </c>
      <c r="I16" s="2290">
        <v>50</v>
      </c>
      <c r="J16" s="2291">
        <v>12</v>
      </c>
      <c r="K16" s="2292">
        <v>0.432</v>
      </c>
      <c r="L16" s="2293" t="s">
        <v>3275</v>
      </c>
      <c r="M16" s="2277">
        <v>2240</v>
      </c>
      <c r="N16" s="2278">
        <f t="shared" si="0"/>
        <v>967.68</v>
      </c>
    </row>
    <row r="17" spans="1:14" s="2270" customFormat="1" ht="15.75" x14ac:dyDescent="0.2">
      <c r="A17" s="3045"/>
      <c r="B17" s="3042"/>
      <c r="C17" s="2284" t="s">
        <v>3312</v>
      </c>
      <c r="D17" s="3036"/>
      <c r="E17" s="3043"/>
      <c r="F17" s="3044"/>
      <c r="G17" s="2289">
        <v>1200</v>
      </c>
      <c r="H17" s="2289">
        <v>600</v>
      </c>
      <c r="I17" s="2290">
        <v>60</v>
      </c>
      <c r="J17" s="2291">
        <v>9</v>
      </c>
      <c r="K17" s="2292">
        <v>0.38879999999999998</v>
      </c>
      <c r="L17" s="2293" t="s">
        <v>3276</v>
      </c>
      <c r="M17" s="2277">
        <v>2240</v>
      </c>
      <c r="N17" s="2278">
        <f t="shared" si="0"/>
        <v>870.91199999999992</v>
      </c>
    </row>
    <row r="18" spans="1:14" s="2270" customFormat="1" ht="15.75" x14ac:dyDescent="0.2">
      <c r="A18" s="3045"/>
      <c r="B18" s="3042"/>
      <c r="C18" s="2284" t="s">
        <v>3312</v>
      </c>
      <c r="D18" s="3036"/>
      <c r="E18" s="3043"/>
      <c r="F18" s="3044"/>
      <c r="G18" s="2289">
        <v>1200</v>
      </c>
      <c r="H18" s="2289">
        <v>600</v>
      </c>
      <c r="I18" s="2289">
        <v>70</v>
      </c>
      <c r="J18" s="2294">
        <v>6</v>
      </c>
      <c r="K18" s="2295">
        <v>0.3024</v>
      </c>
      <c r="L18" s="2296" t="s">
        <v>3277</v>
      </c>
      <c r="M18" s="2277">
        <v>2240</v>
      </c>
      <c r="N18" s="2278">
        <f t="shared" si="0"/>
        <v>677.37599999999998</v>
      </c>
    </row>
    <row r="19" spans="1:14" s="2270" customFormat="1" ht="15.75" x14ac:dyDescent="0.2">
      <c r="A19" s="3045"/>
      <c r="B19" s="3042"/>
      <c r="C19" s="2284" t="s">
        <v>3312</v>
      </c>
      <c r="D19" s="3036"/>
      <c r="E19" s="3043"/>
      <c r="F19" s="3044"/>
      <c r="G19" s="2289">
        <v>1200</v>
      </c>
      <c r="H19" s="2289">
        <v>600</v>
      </c>
      <c r="I19" s="2289">
        <v>120</v>
      </c>
      <c r="J19" s="2294">
        <v>4</v>
      </c>
      <c r="K19" s="2295">
        <v>0.34560000000000002</v>
      </c>
      <c r="L19" s="2296" t="s">
        <v>3270</v>
      </c>
      <c r="M19" s="2277">
        <v>2240</v>
      </c>
      <c r="N19" s="2278">
        <f t="shared" si="0"/>
        <v>774.14400000000001</v>
      </c>
    </row>
    <row r="20" spans="1:14" s="2270" customFormat="1" ht="15.75" x14ac:dyDescent="0.2">
      <c r="A20" s="3045"/>
      <c r="B20" s="3042"/>
      <c r="C20" s="2284" t="s">
        <v>3312</v>
      </c>
      <c r="D20" s="3036"/>
      <c r="E20" s="3043"/>
      <c r="F20" s="3044"/>
      <c r="G20" s="2289">
        <v>1200</v>
      </c>
      <c r="H20" s="2289">
        <v>600</v>
      </c>
      <c r="I20" s="2289">
        <v>150</v>
      </c>
      <c r="J20" s="2294">
        <v>3</v>
      </c>
      <c r="K20" s="2295">
        <v>0.32400000000000001</v>
      </c>
      <c r="L20" s="2296" t="s">
        <v>3278</v>
      </c>
      <c r="M20" s="2277">
        <v>2240</v>
      </c>
      <c r="N20" s="2278">
        <f t="shared" si="0"/>
        <v>725.76</v>
      </c>
    </row>
    <row r="21" spans="1:14" s="2270" customFormat="1" ht="45.75" customHeight="1" x14ac:dyDescent="0.2">
      <c r="A21" s="3045" t="s">
        <v>3283</v>
      </c>
      <c r="B21" s="2273" t="s">
        <v>3286</v>
      </c>
      <c r="C21" s="2281" t="s">
        <v>3312</v>
      </c>
      <c r="D21" s="2281" t="s">
        <v>3315</v>
      </c>
      <c r="E21" s="2282" t="s">
        <v>3319</v>
      </c>
      <c r="F21" s="2281">
        <v>15</v>
      </c>
      <c r="G21" s="2281">
        <v>1250</v>
      </c>
      <c r="H21" s="2281">
        <v>610</v>
      </c>
      <c r="I21" s="2281">
        <v>100</v>
      </c>
      <c r="J21" s="2281">
        <v>12</v>
      </c>
      <c r="K21" s="2287" t="s">
        <v>3331</v>
      </c>
      <c r="L21" s="2287" t="s">
        <v>3332</v>
      </c>
      <c r="M21" s="2274">
        <v>1625</v>
      </c>
      <c r="N21" s="2274">
        <f>M21*0.915</f>
        <v>1486.875</v>
      </c>
    </row>
    <row r="22" spans="1:14" s="2270" customFormat="1" ht="40.5" customHeight="1" x14ac:dyDescent="0.2">
      <c r="A22" s="3045"/>
      <c r="B22" s="2273" t="s">
        <v>3284</v>
      </c>
      <c r="C22" s="2281" t="s">
        <v>602</v>
      </c>
      <c r="D22" s="2281" t="s">
        <v>3315</v>
      </c>
      <c r="E22" s="2282" t="s">
        <v>3319</v>
      </c>
      <c r="F22" s="2281">
        <v>15</v>
      </c>
      <c r="G22" s="2281">
        <v>9000</v>
      </c>
      <c r="H22" s="2281">
        <v>1200</v>
      </c>
      <c r="I22" s="2281" t="s">
        <v>3285</v>
      </c>
      <c r="J22" s="2281">
        <v>2</v>
      </c>
      <c r="K22" s="2287" t="s">
        <v>3333</v>
      </c>
      <c r="L22" s="2287" t="s">
        <v>3334</v>
      </c>
      <c r="M22" s="2274">
        <v>1679</v>
      </c>
      <c r="N22" s="2274">
        <f>M22*1.08</f>
        <v>1813.3200000000002</v>
      </c>
    </row>
    <row r="23" spans="1:14" s="2270" customFormat="1" ht="64.5" customHeight="1" x14ac:dyDescent="0.2">
      <c r="A23" s="2279" t="s">
        <v>3287</v>
      </c>
      <c r="B23" s="2273" t="s">
        <v>3320</v>
      </c>
      <c r="C23" s="2283" t="s">
        <v>3312</v>
      </c>
      <c r="D23" s="2281" t="s">
        <v>3315</v>
      </c>
      <c r="E23" s="2282" t="s">
        <v>3321</v>
      </c>
      <c r="F23" s="2281">
        <v>25</v>
      </c>
      <c r="G23" s="2283">
        <v>1250</v>
      </c>
      <c r="H23" s="2283">
        <v>600</v>
      </c>
      <c r="I23" s="2283">
        <v>50</v>
      </c>
      <c r="J23" s="2283">
        <v>16</v>
      </c>
      <c r="K23" s="2287" t="s">
        <v>3324</v>
      </c>
      <c r="L23" s="2288" t="s">
        <v>3325</v>
      </c>
      <c r="M23" s="2275">
        <v>1856</v>
      </c>
      <c r="N23" s="2275">
        <f>M23*0.6</f>
        <v>1113.5999999999999</v>
      </c>
    </row>
    <row r="24" spans="1:14" s="2270" customFormat="1" ht="78" customHeight="1" x14ac:dyDescent="0.2">
      <c r="A24" s="2279" t="s">
        <v>3288</v>
      </c>
      <c r="B24" s="2280" t="s">
        <v>3289</v>
      </c>
      <c r="C24" s="2283" t="s">
        <v>602</v>
      </c>
      <c r="D24" s="2281" t="s">
        <v>3315</v>
      </c>
      <c r="E24" s="2282" t="s">
        <v>3322</v>
      </c>
      <c r="F24" s="2281">
        <v>11</v>
      </c>
      <c r="G24" s="2283">
        <v>7380</v>
      </c>
      <c r="H24" s="2283">
        <v>1220</v>
      </c>
      <c r="I24" s="2283" t="s">
        <v>3285</v>
      </c>
      <c r="J24" s="2283">
        <v>2</v>
      </c>
      <c r="K24" s="2287" t="s">
        <v>3326</v>
      </c>
      <c r="L24" s="2288" t="s">
        <v>3327</v>
      </c>
      <c r="M24" s="2275">
        <v>1455</v>
      </c>
      <c r="N24" s="2275">
        <f>M24*0.9</f>
        <v>1309.5</v>
      </c>
    </row>
    <row r="25" spans="1:14" s="2270" customFormat="1" ht="15" x14ac:dyDescent="0.2">
      <c r="A25" s="3039" t="s">
        <v>1804</v>
      </c>
      <c r="B25" s="3039"/>
      <c r="C25" s="3039"/>
      <c r="D25" s="3039"/>
      <c r="E25" s="3039"/>
      <c r="F25" s="3039"/>
      <c r="G25" s="3039"/>
      <c r="H25" s="3039"/>
      <c r="I25" s="3039"/>
      <c r="J25" s="3039"/>
      <c r="K25" s="3039"/>
      <c r="L25" s="3039"/>
      <c r="M25" s="3039"/>
      <c r="N25" s="3039"/>
    </row>
    <row r="26" spans="1:14" s="2270" customFormat="1" ht="15" x14ac:dyDescent="0.2">
      <c r="A26" s="3039" t="s">
        <v>3290</v>
      </c>
      <c r="B26" s="3039"/>
      <c r="C26" s="3039"/>
      <c r="D26" s="3039"/>
      <c r="E26" s="3039"/>
      <c r="F26" s="3039"/>
      <c r="G26" s="3039"/>
      <c r="H26" s="3039"/>
      <c r="I26" s="3039"/>
      <c r="J26" s="3039"/>
      <c r="K26" s="3039"/>
      <c r="L26" s="3039"/>
      <c r="M26" s="3039"/>
      <c r="N26" s="3039"/>
    </row>
    <row r="27" spans="1:14" s="2270" customFormat="1" ht="15" x14ac:dyDescent="0.2">
      <c r="A27" s="3039" t="s">
        <v>3291</v>
      </c>
      <c r="B27" s="3039"/>
      <c r="C27" s="3039"/>
      <c r="D27" s="3039"/>
      <c r="E27" s="3039"/>
      <c r="F27" s="3039"/>
      <c r="G27" s="3039"/>
      <c r="H27" s="3039"/>
      <c r="I27" s="3039"/>
      <c r="J27" s="3039"/>
      <c r="K27" s="3039"/>
      <c r="L27" s="3039"/>
      <c r="M27" s="3039"/>
      <c r="N27" s="3039"/>
    </row>
    <row r="28" spans="1:14" s="2270" customFormat="1" ht="15" x14ac:dyDescent="0.2">
      <c r="A28" s="3039" t="s">
        <v>3292</v>
      </c>
      <c r="B28" s="3039"/>
      <c r="C28" s="3039"/>
      <c r="D28" s="3039"/>
      <c r="E28" s="3039"/>
      <c r="F28" s="3039"/>
      <c r="G28" s="3039"/>
      <c r="H28" s="3039"/>
      <c r="I28" s="3039"/>
      <c r="J28" s="3039"/>
      <c r="K28" s="3039"/>
      <c r="L28" s="3039"/>
      <c r="M28" s="3039"/>
      <c r="N28" s="3039"/>
    </row>
    <row r="29" spans="1:14" s="2270" customFormat="1" ht="15" x14ac:dyDescent="0.2">
      <c r="A29" s="3039" t="s">
        <v>3293</v>
      </c>
      <c r="B29" s="3039"/>
      <c r="C29" s="3039"/>
      <c r="D29" s="3039"/>
      <c r="E29" s="3039"/>
      <c r="F29" s="3039"/>
      <c r="G29" s="3039"/>
      <c r="H29" s="3039"/>
      <c r="I29" s="3039"/>
      <c r="J29" s="3039"/>
      <c r="K29" s="3039"/>
      <c r="L29" s="3039"/>
      <c r="M29" s="3039"/>
      <c r="N29" s="3039"/>
    </row>
    <row r="30" spans="1:14" s="2270" customFormat="1" x14ac:dyDescent="0.2"/>
    <row r="31" spans="1:14" s="2270" customFormat="1" ht="15.75" x14ac:dyDescent="0.2">
      <c r="A31" s="3029" t="s">
        <v>3294</v>
      </c>
      <c r="B31" s="3030"/>
      <c r="C31" s="3030"/>
      <c r="D31" s="3030"/>
      <c r="E31" s="3030"/>
      <c r="F31" s="3030"/>
      <c r="G31" s="3030"/>
      <c r="H31" s="3030"/>
      <c r="I31" s="3030"/>
      <c r="J31" s="3030"/>
      <c r="K31" s="3030"/>
      <c r="L31" s="3030"/>
      <c r="M31" s="3030"/>
      <c r="N31" s="3031"/>
    </row>
    <row r="32" spans="1:14" s="2270" customFormat="1" ht="15.75" x14ac:dyDescent="0.2">
      <c r="A32" s="3032" t="s">
        <v>3295</v>
      </c>
      <c r="B32" s="3032"/>
      <c r="C32" s="3029" t="s">
        <v>3296</v>
      </c>
      <c r="D32" s="3030"/>
      <c r="E32" s="3030"/>
      <c r="F32" s="3030"/>
      <c r="G32" s="3030"/>
      <c r="H32" s="3030"/>
      <c r="I32" s="3030"/>
      <c r="J32" s="3032" t="s">
        <v>1224</v>
      </c>
      <c r="K32" s="3032"/>
      <c r="L32" s="3032"/>
      <c r="M32" s="2299" t="s">
        <v>3297</v>
      </c>
      <c r="N32" s="2299" t="s">
        <v>1774</v>
      </c>
    </row>
    <row r="33" spans="1:14" s="2270" customFormat="1" ht="104.25" customHeight="1" x14ac:dyDescent="0.2">
      <c r="A33" s="3033" t="s">
        <v>3298</v>
      </c>
      <c r="B33" s="3034"/>
      <c r="C33" s="3026" t="s">
        <v>3335</v>
      </c>
      <c r="D33" s="3035"/>
      <c r="E33" s="3035"/>
      <c r="F33" s="3035"/>
      <c r="G33" s="3035"/>
      <c r="H33" s="3035"/>
      <c r="I33" s="3035"/>
      <c r="J33" s="3036" t="s">
        <v>3299</v>
      </c>
      <c r="K33" s="3036"/>
      <c r="L33" s="3036"/>
      <c r="M33" s="3037">
        <v>1400</v>
      </c>
      <c r="N33" s="3038"/>
    </row>
    <row r="34" spans="1:14" s="2270" customFormat="1" ht="15.75" customHeight="1" x14ac:dyDescent="0.2">
      <c r="A34" s="3024" t="s">
        <v>3300</v>
      </c>
      <c r="B34" s="3024"/>
      <c r="C34" s="3025" t="s">
        <v>3301</v>
      </c>
      <c r="D34" s="3025"/>
      <c r="E34" s="3025"/>
      <c r="F34" s="3025"/>
      <c r="G34" s="3025"/>
      <c r="H34" s="3025"/>
      <c r="I34" s="3026"/>
      <c r="J34" s="3027" t="s">
        <v>3302</v>
      </c>
      <c r="K34" s="3027"/>
      <c r="L34" s="3027"/>
      <c r="M34" s="2300">
        <v>4.4000000000000004</v>
      </c>
      <c r="N34" s="2301">
        <f t="shared" ref="N34:N42" si="1">M34*500</f>
        <v>2200</v>
      </c>
    </row>
    <row r="35" spans="1:14" s="2270" customFormat="1" ht="15.75" customHeight="1" x14ac:dyDescent="0.2">
      <c r="A35" s="3024"/>
      <c r="B35" s="3024"/>
      <c r="C35" s="3025"/>
      <c r="D35" s="3025"/>
      <c r="E35" s="3025"/>
      <c r="F35" s="3025"/>
      <c r="G35" s="3025"/>
      <c r="H35" s="3025"/>
      <c r="I35" s="3026"/>
      <c r="J35" s="3027" t="s">
        <v>3303</v>
      </c>
      <c r="K35" s="3027"/>
      <c r="L35" s="3027"/>
      <c r="M35" s="2302">
        <v>5.0999999999999996</v>
      </c>
      <c r="N35" s="2275">
        <f t="shared" si="1"/>
        <v>2550</v>
      </c>
    </row>
    <row r="36" spans="1:14" s="2270" customFormat="1" ht="15.75" customHeight="1" x14ac:dyDescent="0.2">
      <c r="A36" s="3024"/>
      <c r="B36" s="3024"/>
      <c r="C36" s="3025"/>
      <c r="D36" s="3025"/>
      <c r="E36" s="3025"/>
      <c r="F36" s="3025"/>
      <c r="G36" s="3025"/>
      <c r="H36" s="3025"/>
      <c r="I36" s="3026"/>
      <c r="J36" s="3027" t="s">
        <v>3304</v>
      </c>
      <c r="K36" s="3027"/>
      <c r="L36" s="3027"/>
      <c r="M36" s="2302">
        <v>6.3</v>
      </c>
      <c r="N36" s="2275">
        <f t="shared" si="1"/>
        <v>3150</v>
      </c>
    </row>
    <row r="37" spans="1:14" s="2270" customFormat="1" ht="19.5" customHeight="1" x14ac:dyDescent="0.2">
      <c r="A37" s="3028" t="s">
        <v>3305</v>
      </c>
      <c r="B37" s="3028"/>
      <c r="C37" s="3025" t="s">
        <v>3306</v>
      </c>
      <c r="D37" s="3025"/>
      <c r="E37" s="3025"/>
      <c r="F37" s="3025"/>
      <c r="G37" s="3025"/>
      <c r="H37" s="3025"/>
      <c r="I37" s="3026"/>
      <c r="J37" s="3027" t="s">
        <v>3302</v>
      </c>
      <c r="K37" s="3027"/>
      <c r="L37" s="3027"/>
      <c r="M37" s="2300">
        <v>7.5</v>
      </c>
      <c r="N37" s="2301">
        <f t="shared" si="1"/>
        <v>3750</v>
      </c>
    </row>
    <row r="38" spans="1:14" s="2270" customFormat="1" ht="20.25" customHeight="1" x14ac:dyDescent="0.2">
      <c r="A38" s="3028"/>
      <c r="B38" s="3028"/>
      <c r="C38" s="3025"/>
      <c r="D38" s="3025"/>
      <c r="E38" s="3025"/>
      <c r="F38" s="3025"/>
      <c r="G38" s="3025"/>
      <c r="H38" s="3025"/>
      <c r="I38" s="3026"/>
      <c r="J38" s="3027" t="s">
        <v>3303</v>
      </c>
      <c r="K38" s="3027"/>
      <c r="L38" s="3027"/>
      <c r="M38" s="2300">
        <v>9.1</v>
      </c>
      <c r="N38" s="2301">
        <f t="shared" si="1"/>
        <v>4550</v>
      </c>
    </row>
    <row r="39" spans="1:14" s="2270" customFormat="1" ht="21" customHeight="1" x14ac:dyDescent="0.2">
      <c r="A39" s="3028"/>
      <c r="B39" s="3028"/>
      <c r="C39" s="3025"/>
      <c r="D39" s="3025"/>
      <c r="E39" s="3025"/>
      <c r="F39" s="3025"/>
      <c r="G39" s="3025"/>
      <c r="H39" s="3025"/>
      <c r="I39" s="3026"/>
      <c r="J39" s="3027" t="s">
        <v>3304</v>
      </c>
      <c r="K39" s="3027"/>
      <c r="L39" s="3027"/>
      <c r="M39" s="2300">
        <v>11.2</v>
      </c>
      <c r="N39" s="2301">
        <f t="shared" si="1"/>
        <v>5600</v>
      </c>
    </row>
    <row r="40" spans="1:14" s="2270" customFormat="1" ht="18" customHeight="1" x14ac:dyDescent="0.2">
      <c r="A40" s="3028" t="s">
        <v>3307</v>
      </c>
      <c r="B40" s="3028"/>
      <c r="C40" s="3025" t="s">
        <v>3308</v>
      </c>
      <c r="D40" s="3025"/>
      <c r="E40" s="3025"/>
      <c r="F40" s="3025"/>
      <c r="G40" s="3025"/>
      <c r="H40" s="3025"/>
      <c r="I40" s="3026"/>
      <c r="J40" s="3027" t="s">
        <v>3302</v>
      </c>
      <c r="K40" s="3027"/>
      <c r="L40" s="3027"/>
      <c r="M40" s="2302">
        <v>11</v>
      </c>
      <c r="N40" s="2275">
        <f t="shared" si="1"/>
        <v>5500</v>
      </c>
    </row>
    <row r="41" spans="1:14" s="2270" customFormat="1" ht="17.25" customHeight="1" x14ac:dyDescent="0.2">
      <c r="A41" s="3028"/>
      <c r="B41" s="3028"/>
      <c r="C41" s="3025"/>
      <c r="D41" s="3025"/>
      <c r="E41" s="3025"/>
      <c r="F41" s="3025"/>
      <c r="G41" s="3025"/>
      <c r="H41" s="3025"/>
      <c r="I41" s="3026"/>
      <c r="J41" s="3027" t="s">
        <v>3303</v>
      </c>
      <c r="K41" s="3027"/>
      <c r="L41" s="3027"/>
      <c r="M41" s="2302">
        <v>12.8</v>
      </c>
      <c r="N41" s="2275">
        <f t="shared" si="1"/>
        <v>6400</v>
      </c>
    </row>
    <row r="42" spans="1:14" s="2270" customFormat="1" ht="18" customHeight="1" x14ac:dyDescent="0.2">
      <c r="A42" s="3028"/>
      <c r="B42" s="3028"/>
      <c r="C42" s="3025"/>
      <c r="D42" s="3025"/>
      <c r="E42" s="3025"/>
      <c r="F42" s="3025"/>
      <c r="G42" s="3025"/>
      <c r="H42" s="3025"/>
      <c r="I42" s="3026"/>
      <c r="J42" s="3027" t="s">
        <v>3304</v>
      </c>
      <c r="K42" s="3027"/>
      <c r="L42" s="3027"/>
      <c r="M42" s="2302">
        <v>14.5</v>
      </c>
      <c r="N42" s="2275">
        <f t="shared" si="1"/>
        <v>7250</v>
      </c>
    </row>
    <row r="43" spans="1:14" s="2270" customFormat="1" ht="15" x14ac:dyDescent="0.2">
      <c r="A43" s="3021" t="s">
        <v>3309</v>
      </c>
      <c r="B43" s="3022"/>
      <c r="C43" s="3022"/>
      <c r="D43" s="3022"/>
      <c r="E43" s="3022"/>
      <c r="F43" s="3022"/>
      <c r="G43" s="3022"/>
      <c r="H43" s="3022"/>
      <c r="I43" s="3022"/>
      <c r="J43" s="3022"/>
      <c r="K43" s="3022"/>
      <c r="L43" s="3022"/>
      <c r="M43" s="3022"/>
      <c r="N43" s="3023"/>
    </row>
  </sheetData>
  <sheetProtection selectLockedCells="1" selectUnlockedCells="1"/>
  <mergeCells count="61">
    <mergeCell ref="M1:N1"/>
    <mergeCell ref="M2:N2"/>
    <mergeCell ref="A4:N4"/>
    <mergeCell ref="M5:N5"/>
    <mergeCell ref="A6:A7"/>
    <mergeCell ref="B6:B7"/>
    <mergeCell ref="C6:C7"/>
    <mergeCell ref="D6:D7"/>
    <mergeCell ref="E6:E7"/>
    <mergeCell ref="N6:N7"/>
    <mergeCell ref="G6:I6"/>
    <mergeCell ref="J6:J7"/>
    <mergeCell ref="K6:K7"/>
    <mergeCell ref="L6:L7"/>
    <mergeCell ref="M6:M7"/>
    <mergeCell ref="D14:D15"/>
    <mergeCell ref="F6:F7"/>
    <mergeCell ref="B8:B9"/>
    <mergeCell ref="C8:C9"/>
    <mergeCell ref="D8:D9"/>
    <mergeCell ref="E8:E9"/>
    <mergeCell ref="A29:N29"/>
    <mergeCell ref="E14:E15"/>
    <mergeCell ref="F14:F15"/>
    <mergeCell ref="B16:B20"/>
    <mergeCell ref="D16:D20"/>
    <mergeCell ref="E16:E20"/>
    <mergeCell ref="F16:F20"/>
    <mergeCell ref="A21:A22"/>
    <mergeCell ref="A25:N25"/>
    <mergeCell ref="A26:N26"/>
    <mergeCell ref="A27:N27"/>
    <mergeCell ref="A28:N28"/>
    <mergeCell ref="A8:A20"/>
    <mergeCell ref="F8:F9"/>
    <mergeCell ref="B14:B15"/>
    <mergeCell ref="C14:C15"/>
    <mergeCell ref="A31:N31"/>
    <mergeCell ref="A32:B32"/>
    <mergeCell ref="C32:I32"/>
    <mergeCell ref="J32:L32"/>
    <mergeCell ref="A33:B33"/>
    <mergeCell ref="C33:I33"/>
    <mergeCell ref="J33:L33"/>
    <mergeCell ref="M33:N33"/>
    <mergeCell ref="A43:N43"/>
    <mergeCell ref="A34:B36"/>
    <mergeCell ref="C34:I36"/>
    <mergeCell ref="J34:L34"/>
    <mergeCell ref="J35:L35"/>
    <mergeCell ref="J36:L36"/>
    <mergeCell ref="A37:B39"/>
    <mergeCell ref="C37:I39"/>
    <mergeCell ref="J37:L37"/>
    <mergeCell ref="J38:L38"/>
    <mergeCell ref="J39:L39"/>
    <mergeCell ref="A40:B42"/>
    <mergeCell ref="C40:I42"/>
    <mergeCell ref="J40:L40"/>
    <mergeCell ref="J41:L41"/>
    <mergeCell ref="J42:L42"/>
  </mergeCells>
  <printOptions horizontalCentered="1"/>
  <pageMargins left="0.19685039370078741" right="0.19685039370078741" top="0.19685039370078741" bottom="0.19685039370078741" header="0" footer="0"/>
  <pageSetup paperSize="9" scale="55" firstPageNumber="0" orientation="landscape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56"/>
  <sheetViews>
    <sheetView topLeftCell="A19" zoomScale="80" zoomScaleNormal="80" zoomScaleSheetLayoutView="50" workbookViewId="0">
      <selection sqref="A1:C2"/>
    </sheetView>
  </sheetViews>
  <sheetFormatPr defaultRowHeight="11.25" x14ac:dyDescent="0.2"/>
  <cols>
    <col min="1" max="1" width="29.140625" style="1658" customWidth="1"/>
    <col min="2" max="2" width="30" style="1658" customWidth="1"/>
    <col min="3" max="3" width="13.28515625" style="1658" customWidth="1"/>
    <col min="4" max="4" width="9.140625" style="1658" customWidth="1"/>
    <col min="5" max="5" width="1.28515625" style="1658" customWidth="1"/>
    <col min="6" max="6" width="26" style="1658" customWidth="1"/>
    <col min="7" max="7" width="41.85546875" style="1658" customWidth="1"/>
    <col min="8" max="8" width="13" style="1658" customWidth="1"/>
    <col min="9" max="9" width="9.85546875" style="1658" customWidth="1"/>
    <col min="10" max="10" width="1.85546875" style="1658" customWidth="1"/>
    <col min="11" max="11" width="22.28515625" style="1658" customWidth="1"/>
    <col min="12" max="12" width="19.42578125" style="1658" customWidth="1"/>
    <col min="13" max="13" width="15.140625" style="1658" customWidth="1"/>
    <col min="14" max="14" width="8.5703125" style="1658" customWidth="1"/>
    <col min="15" max="15" width="15.28515625" style="1658" customWidth="1"/>
    <col min="16" max="16" width="11.140625" style="1658" customWidth="1"/>
    <col min="17" max="17" width="10.140625" style="1658" customWidth="1"/>
    <col min="18" max="256" width="9.140625" style="1658"/>
    <col min="257" max="257" width="27.7109375" style="1658" customWidth="1"/>
    <col min="258" max="258" width="23.5703125" style="1658" customWidth="1"/>
    <col min="259" max="259" width="10.5703125" style="1658" customWidth="1"/>
    <col min="260" max="260" width="8.7109375" style="1658" customWidth="1"/>
    <col min="261" max="261" width="2.42578125" style="1658" customWidth="1"/>
    <col min="262" max="262" width="29.28515625" style="1658" customWidth="1"/>
    <col min="263" max="263" width="48.85546875" style="1658" customWidth="1"/>
    <col min="264" max="264" width="10.5703125" style="1658" customWidth="1"/>
    <col min="265" max="265" width="8.7109375" style="1658" customWidth="1"/>
    <col min="266" max="266" width="2" style="1658" customWidth="1"/>
    <col min="267" max="267" width="23.42578125" style="1658" customWidth="1"/>
    <col min="268" max="268" width="19.42578125" style="1658" customWidth="1"/>
    <col min="269" max="269" width="10.7109375" style="1658" customWidth="1"/>
    <col min="270" max="270" width="8.5703125" style="1658" customWidth="1"/>
    <col min="271" max="271" width="15.28515625" style="1658" customWidth="1"/>
    <col min="272" max="272" width="11.140625" style="1658" customWidth="1"/>
    <col min="273" max="273" width="10.140625" style="1658" customWidth="1"/>
    <col min="274" max="512" width="9.140625" style="1658"/>
    <col min="513" max="513" width="27.7109375" style="1658" customWidth="1"/>
    <col min="514" max="514" width="23.5703125" style="1658" customWidth="1"/>
    <col min="515" max="515" width="10.5703125" style="1658" customWidth="1"/>
    <col min="516" max="516" width="8.7109375" style="1658" customWidth="1"/>
    <col min="517" max="517" width="2.42578125" style="1658" customWidth="1"/>
    <col min="518" max="518" width="29.28515625" style="1658" customWidth="1"/>
    <col min="519" max="519" width="48.85546875" style="1658" customWidth="1"/>
    <col min="520" max="520" width="10.5703125" style="1658" customWidth="1"/>
    <col min="521" max="521" width="8.7109375" style="1658" customWidth="1"/>
    <col min="522" max="522" width="2" style="1658" customWidth="1"/>
    <col min="523" max="523" width="23.42578125" style="1658" customWidth="1"/>
    <col min="524" max="524" width="19.42578125" style="1658" customWidth="1"/>
    <col min="525" max="525" width="10.7109375" style="1658" customWidth="1"/>
    <col min="526" max="526" width="8.5703125" style="1658" customWidth="1"/>
    <col min="527" max="527" width="15.28515625" style="1658" customWidth="1"/>
    <col min="528" max="528" width="11.140625" style="1658" customWidth="1"/>
    <col min="529" max="529" width="10.140625" style="1658" customWidth="1"/>
    <col min="530" max="768" width="9.140625" style="1658"/>
    <col min="769" max="769" width="27.7109375" style="1658" customWidth="1"/>
    <col min="770" max="770" width="23.5703125" style="1658" customWidth="1"/>
    <col min="771" max="771" width="10.5703125" style="1658" customWidth="1"/>
    <col min="772" max="772" width="8.7109375" style="1658" customWidth="1"/>
    <col min="773" max="773" width="2.42578125" style="1658" customWidth="1"/>
    <col min="774" max="774" width="29.28515625" style="1658" customWidth="1"/>
    <col min="775" max="775" width="48.85546875" style="1658" customWidth="1"/>
    <col min="776" max="776" width="10.5703125" style="1658" customWidth="1"/>
    <col min="777" max="777" width="8.7109375" style="1658" customWidth="1"/>
    <col min="778" max="778" width="2" style="1658" customWidth="1"/>
    <col min="779" max="779" width="23.42578125" style="1658" customWidth="1"/>
    <col min="780" max="780" width="19.42578125" style="1658" customWidth="1"/>
    <col min="781" max="781" width="10.7109375" style="1658" customWidth="1"/>
    <col min="782" max="782" width="8.5703125" style="1658" customWidth="1"/>
    <col min="783" max="783" width="15.28515625" style="1658" customWidth="1"/>
    <col min="784" max="784" width="11.140625" style="1658" customWidth="1"/>
    <col min="785" max="785" width="10.140625" style="1658" customWidth="1"/>
    <col min="786" max="1024" width="9.140625" style="1658"/>
    <col min="1025" max="1025" width="27.7109375" style="1658" customWidth="1"/>
    <col min="1026" max="1026" width="23.5703125" style="1658" customWidth="1"/>
    <col min="1027" max="1027" width="10.5703125" style="1658" customWidth="1"/>
    <col min="1028" max="1028" width="8.7109375" style="1658" customWidth="1"/>
    <col min="1029" max="1029" width="2.42578125" style="1658" customWidth="1"/>
    <col min="1030" max="1030" width="29.28515625" style="1658" customWidth="1"/>
    <col min="1031" max="1031" width="48.85546875" style="1658" customWidth="1"/>
    <col min="1032" max="1032" width="10.5703125" style="1658" customWidth="1"/>
    <col min="1033" max="1033" width="8.7109375" style="1658" customWidth="1"/>
    <col min="1034" max="1034" width="2" style="1658" customWidth="1"/>
    <col min="1035" max="1035" width="23.42578125" style="1658" customWidth="1"/>
    <col min="1036" max="1036" width="19.42578125" style="1658" customWidth="1"/>
    <col min="1037" max="1037" width="10.7109375" style="1658" customWidth="1"/>
    <col min="1038" max="1038" width="8.5703125" style="1658" customWidth="1"/>
    <col min="1039" max="1039" width="15.28515625" style="1658" customWidth="1"/>
    <col min="1040" max="1040" width="11.140625" style="1658" customWidth="1"/>
    <col min="1041" max="1041" width="10.140625" style="1658" customWidth="1"/>
    <col min="1042" max="1280" width="9.140625" style="1658"/>
    <col min="1281" max="1281" width="27.7109375" style="1658" customWidth="1"/>
    <col min="1282" max="1282" width="23.5703125" style="1658" customWidth="1"/>
    <col min="1283" max="1283" width="10.5703125" style="1658" customWidth="1"/>
    <col min="1284" max="1284" width="8.7109375" style="1658" customWidth="1"/>
    <col min="1285" max="1285" width="2.42578125" style="1658" customWidth="1"/>
    <col min="1286" max="1286" width="29.28515625" style="1658" customWidth="1"/>
    <col min="1287" max="1287" width="48.85546875" style="1658" customWidth="1"/>
    <col min="1288" max="1288" width="10.5703125" style="1658" customWidth="1"/>
    <col min="1289" max="1289" width="8.7109375" style="1658" customWidth="1"/>
    <col min="1290" max="1290" width="2" style="1658" customWidth="1"/>
    <col min="1291" max="1291" width="23.42578125" style="1658" customWidth="1"/>
    <col min="1292" max="1292" width="19.42578125" style="1658" customWidth="1"/>
    <col min="1293" max="1293" width="10.7109375" style="1658" customWidth="1"/>
    <col min="1294" max="1294" width="8.5703125" style="1658" customWidth="1"/>
    <col min="1295" max="1295" width="15.28515625" style="1658" customWidth="1"/>
    <col min="1296" max="1296" width="11.140625" style="1658" customWidth="1"/>
    <col min="1297" max="1297" width="10.140625" style="1658" customWidth="1"/>
    <col min="1298" max="1536" width="9.140625" style="1658"/>
    <col min="1537" max="1537" width="27.7109375" style="1658" customWidth="1"/>
    <col min="1538" max="1538" width="23.5703125" style="1658" customWidth="1"/>
    <col min="1539" max="1539" width="10.5703125" style="1658" customWidth="1"/>
    <col min="1540" max="1540" width="8.7109375" style="1658" customWidth="1"/>
    <col min="1541" max="1541" width="2.42578125" style="1658" customWidth="1"/>
    <col min="1542" max="1542" width="29.28515625" style="1658" customWidth="1"/>
    <col min="1543" max="1543" width="48.85546875" style="1658" customWidth="1"/>
    <col min="1544" max="1544" width="10.5703125" style="1658" customWidth="1"/>
    <col min="1545" max="1545" width="8.7109375" style="1658" customWidth="1"/>
    <col min="1546" max="1546" width="2" style="1658" customWidth="1"/>
    <col min="1547" max="1547" width="23.42578125" style="1658" customWidth="1"/>
    <col min="1548" max="1548" width="19.42578125" style="1658" customWidth="1"/>
    <col min="1549" max="1549" width="10.7109375" style="1658" customWidth="1"/>
    <col min="1550" max="1550" width="8.5703125" style="1658" customWidth="1"/>
    <col min="1551" max="1551" width="15.28515625" style="1658" customWidth="1"/>
    <col min="1552" max="1552" width="11.140625" style="1658" customWidth="1"/>
    <col min="1553" max="1553" width="10.140625" style="1658" customWidth="1"/>
    <col min="1554" max="1792" width="9.140625" style="1658"/>
    <col min="1793" max="1793" width="27.7109375" style="1658" customWidth="1"/>
    <col min="1794" max="1794" width="23.5703125" style="1658" customWidth="1"/>
    <col min="1795" max="1795" width="10.5703125" style="1658" customWidth="1"/>
    <col min="1796" max="1796" width="8.7109375" style="1658" customWidth="1"/>
    <col min="1797" max="1797" width="2.42578125" style="1658" customWidth="1"/>
    <col min="1798" max="1798" width="29.28515625" style="1658" customWidth="1"/>
    <col min="1799" max="1799" width="48.85546875" style="1658" customWidth="1"/>
    <col min="1800" max="1800" width="10.5703125" style="1658" customWidth="1"/>
    <col min="1801" max="1801" width="8.7109375" style="1658" customWidth="1"/>
    <col min="1802" max="1802" width="2" style="1658" customWidth="1"/>
    <col min="1803" max="1803" width="23.42578125" style="1658" customWidth="1"/>
    <col min="1804" max="1804" width="19.42578125" style="1658" customWidth="1"/>
    <col min="1805" max="1805" width="10.7109375" style="1658" customWidth="1"/>
    <col min="1806" max="1806" width="8.5703125" style="1658" customWidth="1"/>
    <col min="1807" max="1807" width="15.28515625" style="1658" customWidth="1"/>
    <col min="1808" max="1808" width="11.140625" style="1658" customWidth="1"/>
    <col min="1809" max="1809" width="10.140625" style="1658" customWidth="1"/>
    <col min="1810" max="2048" width="9.140625" style="1658"/>
    <col min="2049" max="2049" width="27.7109375" style="1658" customWidth="1"/>
    <col min="2050" max="2050" width="23.5703125" style="1658" customWidth="1"/>
    <col min="2051" max="2051" width="10.5703125" style="1658" customWidth="1"/>
    <col min="2052" max="2052" width="8.7109375" style="1658" customWidth="1"/>
    <col min="2053" max="2053" width="2.42578125" style="1658" customWidth="1"/>
    <col min="2054" max="2054" width="29.28515625" style="1658" customWidth="1"/>
    <col min="2055" max="2055" width="48.85546875" style="1658" customWidth="1"/>
    <col min="2056" max="2056" width="10.5703125" style="1658" customWidth="1"/>
    <col min="2057" max="2057" width="8.7109375" style="1658" customWidth="1"/>
    <col min="2058" max="2058" width="2" style="1658" customWidth="1"/>
    <col min="2059" max="2059" width="23.42578125" style="1658" customWidth="1"/>
    <col min="2060" max="2060" width="19.42578125" style="1658" customWidth="1"/>
    <col min="2061" max="2061" width="10.7109375" style="1658" customWidth="1"/>
    <col min="2062" max="2062" width="8.5703125" style="1658" customWidth="1"/>
    <col min="2063" max="2063" width="15.28515625" style="1658" customWidth="1"/>
    <col min="2064" max="2064" width="11.140625" style="1658" customWidth="1"/>
    <col min="2065" max="2065" width="10.140625" style="1658" customWidth="1"/>
    <col min="2066" max="2304" width="9.140625" style="1658"/>
    <col min="2305" max="2305" width="27.7109375" style="1658" customWidth="1"/>
    <col min="2306" max="2306" width="23.5703125" style="1658" customWidth="1"/>
    <col min="2307" max="2307" width="10.5703125" style="1658" customWidth="1"/>
    <col min="2308" max="2308" width="8.7109375" style="1658" customWidth="1"/>
    <col min="2309" max="2309" width="2.42578125" style="1658" customWidth="1"/>
    <col min="2310" max="2310" width="29.28515625" style="1658" customWidth="1"/>
    <col min="2311" max="2311" width="48.85546875" style="1658" customWidth="1"/>
    <col min="2312" max="2312" width="10.5703125" style="1658" customWidth="1"/>
    <col min="2313" max="2313" width="8.7109375" style="1658" customWidth="1"/>
    <col min="2314" max="2314" width="2" style="1658" customWidth="1"/>
    <col min="2315" max="2315" width="23.42578125" style="1658" customWidth="1"/>
    <col min="2316" max="2316" width="19.42578125" style="1658" customWidth="1"/>
    <col min="2317" max="2317" width="10.7109375" style="1658" customWidth="1"/>
    <col min="2318" max="2318" width="8.5703125" style="1658" customWidth="1"/>
    <col min="2319" max="2319" width="15.28515625" style="1658" customWidth="1"/>
    <col min="2320" max="2320" width="11.140625" style="1658" customWidth="1"/>
    <col min="2321" max="2321" width="10.140625" style="1658" customWidth="1"/>
    <col min="2322" max="2560" width="9.140625" style="1658"/>
    <col min="2561" max="2561" width="27.7109375" style="1658" customWidth="1"/>
    <col min="2562" max="2562" width="23.5703125" style="1658" customWidth="1"/>
    <col min="2563" max="2563" width="10.5703125" style="1658" customWidth="1"/>
    <col min="2564" max="2564" width="8.7109375" style="1658" customWidth="1"/>
    <col min="2565" max="2565" width="2.42578125" style="1658" customWidth="1"/>
    <col min="2566" max="2566" width="29.28515625" style="1658" customWidth="1"/>
    <col min="2567" max="2567" width="48.85546875" style="1658" customWidth="1"/>
    <col min="2568" max="2568" width="10.5703125" style="1658" customWidth="1"/>
    <col min="2569" max="2569" width="8.7109375" style="1658" customWidth="1"/>
    <col min="2570" max="2570" width="2" style="1658" customWidth="1"/>
    <col min="2571" max="2571" width="23.42578125" style="1658" customWidth="1"/>
    <col min="2572" max="2572" width="19.42578125" style="1658" customWidth="1"/>
    <col min="2573" max="2573" width="10.7109375" style="1658" customWidth="1"/>
    <col min="2574" max="2574" width="8.5703125" style="1658" customWidth="1"/>
    <col min="2575" max="2575" width="15.28515625" style="1658" customWidth="1"/>
    <col min="2576" max="2576" width="11.140625" style="1658" customWidth="1"/>
    <col min="2577" max="2577" width="10.140625" style="1658" customWidth="1"/>
    <col min="2578" max="2816" width="9.140625" style="1658"/>
    <col min="2817" max="2817" width="27.7109375" style="1658" customWidth="1"/>
    <col min="2818" max="2818" width="23.5703125" style="1658" customWidth="1"/>
    <col min="2819" max="2819" width="10.5703125" style="1658" customWidth="1"/>
    <col min="2820" max="2820" width="8.7109375" style="1658" customWidth="1"/>
    <col min="2821" max="2821" width="2.42578125" style="1658" customWidth="1"/>
    <col min="2822" max="2822" width="29.28515625" style="1658" customWidth="1"/>
    <col min="2823" max="2823" width="48.85546875" style="1658" customWidth="1"/>
    <col min="2824" max="2824" width="10.5703125" style="1658" customWidth="1"/>
    <col min="2825" max="2825" width="8.7109375" style="1658" customWidth="1"/>
    <col min="2826" max="2826" width="2" style="1658" customWidth="1"/>
    <col min="2827" max="2827" width="23.42578125" style="1658" customWidth="1"/>
    <col min="2828" max="2828" width="19.42578125" style="1658" customWidth="1"/>
    <col min="2829" max="2829" width="10.7109375" style="1658" customWidth="1"/>
    <col min="2830" max="2830" width="8.5703125" style="1658" customWidth="1"/>
    <col min="2831" max="2831" width="15.28515625" style="1658" customWidth="1"/>
    <col min="2832" max="2832" width="11.140625" style="1658" customWidth="1"/>
    <col min="2833" max="2833" width="10.140625" style="1658" customWidth="1"/>
    <col min="2834" max="3072" width="9.140625" style="1658"/>
    <col min="3073" max="3073" width="27.7109375" style="1658" customWidth="1"/>
    <col min="3074" max="3074" width="23.5703125" style="1658" customWidth="1"/>
    <col min="3075" max="3075" width="10.5703125" style="1658" customWidth="1"/>
    <col min="3076" max="3076" width="8.7109375" style="1658" customWidth="1"/>
    <col min="3077" max="3077" width="2.42578125" style="1658" customWidth="1"/>
    <col min="3078" max="3078" width="29.28515625" style="1658" customWidth="1"/>
    <col min="3079" max="3079" width="48.85546875" style="1658" customWidth="1"/>
    <col min="3080" max="3080" width="10.5703125" style="1658" customWidth="1"/>
    <col min="3081" max="3081" width="8.7109375" style="1658" customWidth="1"/>
    <col min="3082" max="3082" width="2" style="1658" customWidth="1"/>
    <col min="3083" max="3083" width="23.42578125" style="1658" customWidth="1"/>
    <col min="3084" max="3084" width="19.42578125" style="1658" customWidth="1"/>
    <col min="3085" max="3085" width="10.7109375" style="1658" customWidth="1"/>
    <col min="3086" max="3086" width="8.5703125" style="1658" customWidth="1"/>
    <col min="3087" max="3087" width="15.28515625" style="1658" customWidth="1"/>
    <col min="3088" max="3088" width="11.140625" style="1658" customWidth="1"/>
    <col min="3089" max="3089" width="10.140625" style="1658" customWidth="1"/>
    <col min="3090" max="3328" width="9.140625" style="1658"/>
    <col min="3329" max="3329" width="27.7109375" style="1658" customWidth="1"/>
    <col min="3330" max="3330" width="23.5703125" style="1658" customWidth="1"/>
    <col min="3331" max="3331" width="10.5703125" style="1658" customWidth="1"/>
    <col min="3332" max="3332" width="8.7109375" style="1658" customWidth="1"/>
    <col min="3333" max="3333" width="2.42578125" style="1658" customWidth="1"/>
    <col min="3334" max="3334" width="29.28515625" style="1658" customWidth="1"/>
    <col min="3335" max="3335" width="48.85546875" style="1658" customWidth="1"/>
    <col min="3336" max="3336" width="10.5703125" style="1658" customWidth="1"/>
    <col min="3337" max="3337" width="8.7109375" style="1658" customWidth="1"/>
    <col min="3338" max="3338" width="2" style="1658" customWidth="1"/>
    <col min="3339" max="3339" width="23.42578125" style="1658" customWidth="1"/>
    <col min="3340" max="3340" width="19.42578125" style="1658" customWidth="1"/>
    <col min="3341" max="3341" width="10.7109375" style="1658" customWidth="1"/>
    <col min="3342" max="3342" width="8.5703125" style="1658" customWidth="1"/>
    <col min="3343" max="3343" width="15.28515625" style="1658" customWidth="1"/>
    <col min="3344" max="3344" width="11.140625" style="1658" customWidth="1"/>
    <col min="3345" max="3345" width="10.140625" style="1658" customWidth="1"/>
    <col min="3346" max="3584" width="9.140625" style="1658"/>
    <col min="3585" max="3585" width="27.7109375" style="1658" customWidth="1"/>
    <col min="3586" max="3586" width="23.5703125" style="1658" customWidth="1"/>
    <col min="3587" max="3587" width="10.5703125" style="1658" customWidth="1"/>
    <col min="3588" max="3588" width="8.7109375" style="1658" customWidth="1"/>
    <col min="3589" max="3589" width="2.42578125" style="1658" customWidth="1"/>
    <col min="3590" max="3590" width="29.28515625" style="1658" customWidth="1"/>
    <col min="3591" max="3591" width="48.85546875" style="1658" customWidth="1"/>
    <col min="3592" max="3592" width="10.5703125" style="1658" customWidth="1"/>
    <col min="3593" max="3593" width="8.7109375" style="1658" customWidth="1"/>
    <col min="3594" max="3594" width="2" style="1658" customWidth="1"/>
    <col min="3595" max="3595" width="23.42578125" style="1658" customWidth="1"/>
    <col min="3596" max="3596" width="19.42578125" style="1658" customWidth="1"/>
    <col min="3597" max="3597" width="10.7109375" style="1658" customWidth="1"/>
    <col min="3598" max="3598" width="8.5703125" style="1658" customWidth="1"/>
    <col min="3599" max="3599" width="15.28515625" style="1658" customWidth="1"/>
    <col min="3600" max="3600" width="11.140625" style="1658" customWidth="1"/>
    <col min="3601" max="3601" width="10.140625" style="1658" customWidth="1"/>
    <col min="3602" max="3840" width="9.140625" style="1658"/>
    <col min="3841" max="3841" width="27.7109375" style="1658" customWidth="1"/>
    <col min="3842" max="3842" width="23.5703125" style="1658" customWidth="1"/>
    <col min="3843" max="3843" width="10.5703125" style="1658" customWidth="1"/>
    <col min="3844" max="3844" width="8.7109375" style="1658" customWidth="1"/>
    <col min="3845" max="3845" width="2.42578125" style="1658" customWidth="1"/>
    <col min="3846" max="3846" width="29.28515625" style="1658" customWidth="1"/>
    <col min="3847" max="3847" width="48.85546875" style="1658" customWidth="1"/>
    <col min="3848" max="3848" width="10.5703125" style="1658" customWidth="1"/>
    <col min="3849" max="3849" width="8.7109375" style="1658" customWidth="1"/>
    <col min="3850" max="3850" width="2" style="1658" customWidth="1"/>
    <col min="3851" max="3851" width="23.42578125" style="1658" customWidth="1"/>
    <col min="3852" max="3852" width="19.42578125" style="1658" customWidth="1"/>
    <col min="3853" max="3853" width="10.7109375" style="1658" customWidth="1"/>
    <col min="3854" max="3854" width="8.5703125" style="1658" customWidth="1"/>
    <col min="3855" max="3855" width="15.28515625" style="1658" customWidth="1"/>
    <col min="3856" max="3856" width="11.140625" style="1658" customWidth="1"/>
    <col min="3857" max="3857" width="10.140625" style="1658" customWidth="1"/>
    <col min="3858" max="4096" width="9.140625" style="1658"/>
    <col min="4097" max="4097" width="27.7109375" style="1658" customWidth="1"/>
    <col min="4098" max="4098" width="23.5703125" style="1658" customWidth="1"/>
    <col min="4099" max="4099" width="10.5703125" style="1658" customWidth="1"/>
    <col min="4100" max="4100" width="8.7109375" style="1658" customWidth="1"/>
    <col min="4101" max="4101" width="2.42578125" style="1658" customWidth="1"/>
    <col min="4102" max="4102" width="29.28515625" style="1658" customWidth="1"/>
    <col min="4103" max="4103" width="48.85546875" style="1658" customWidth="1"/>
    <col min="4104" max="4104" width="10.5703125" style="1658" customWidth="1"/>
    <col min="4105" max="4105" width="8.7109375" style="1658" customWidth="1"/>
    <col min="4106" max="4106" width="2" style="1658" customWidth="1"/>
    <col min="4107" max="4107" width="23.42578125" style="1658" customWidth="1"/>
    <col min="4108" max="4108" width="19.42578125" style="1658" customWidth="1"/>
    <col min="4109" max="4109" width="10.7109375" style="1658" customWidth="1"/>
    <col min="4110" max="4110" width="8.5703125" style="1658" customWidth="1"/>
    <col min="4111" max="4111" width="15.28515625" style="1658" customWidth="1"/>
    <col min="4112" max="4112" width="11.140625" style="1658" customWidth="1"/>
    <col min="4113" max="4113" width="10.140625" style="1658" customWidth="1"/>
    <col min="4114" max="4352" width="9.140625" style="1658"/>
    <col min="4353" max="4353" width="27.7109375" style="1658" customWidth="1"/>
    <col min="4354" max="4354" width="23.5703125" style="1658" customWidth="1"/>
    <col min="4355" max="4355" width="10.5703125" style="1658" customWidth="1"/>
    <col min="4356" max="4356" width="8.7109375" style="1658" customWidth="1"/>
    <col min="4357" max="4357" width="2.42578125" style="1658" customWidth="1"/>
    <col min="4358" max="4358" width="29.28515625" style="1658" customWidth="1"/>
    <col min="4359" max="4359" width="48.85546875" style="1658" customWidth="1"/>
    <col min="4360" max="4360" width="10.5703125" style="1658" customWidth="1"/>
    <col min="4361" max="4361" width="8.7109375" style="1658" customWidth="1"/>
    <col min="4362" max="4362" width="2" style="1658" customWidth="1"/>
    <col min="4363" max="4363" width="23.42578125" style="1658" customWidth="1"/>
    <col min="4364" max="4364" width="19.42578125" style="1658" customWidth="1"/>
    <col min="4365" max="4365" width="10.7109375" style="1658" customWidth="1"/>
    <col min="4366" max="4366" width="8.5703125" style="1658" customWidth="1"/>
    <col min="4367" max="4367" width="15.28515625" style="1658" customWidth="1"/>
    <col min="4368" max="4368" width="11.140625" style="1658" customWidth="1"/>
    <col min="4369" max="4369" width="10.140625" style="1658" customWidth="1"/>
    <col min="4370" max="4608" width="9.140625" style="1658"/>
    <col min="4609" max="4609" width="27.7109375" style="1658" customWidth="1"/>
    <col min="4610" max="4610" width="23.5703125" style="1658" customWidth="1"/>
    <col min="4611" max="4611" width="10.5703125" style="1658" customWidth="1"/>
    <col min="4612" max="4612" width="8.7109375" style="1658" customWidth="1"/>
    <col min="4613" max="4613" width="2.42578125" style="1658" customWidth="1"/>
    <col min="4614" max="4614" width="29.28515625" style="1658" customWidth="1"/>
    <col min="4615" max="4615" width="48.85546875" style="1658" customWidth="1"/>
    <col min="4616" max="4616" width="10.5703125" style="1658" customWidth="1"/>
    <col min="4617" max="4617" width="8.7109375" style="1658" customWidth="1"/>
    <col min="4618" max="4618" width="2" style="1658" customWidth="1"/>
    <col min="4619" max="4619" width="23.42578125" style="1658" customWidth="1"/>
    <col min="4620" max="4620" width="19.42578125" style="1658" customWidth="1"/>
    <col min="4621" max="4621" width="10.7109375" style="1658" customWidth="1"/>
    <col min="4622" max="4622" width="8.5703125" style="1658" customWidth="1"/>
    <col min="4623" max="4623" width="15.28515625" style="1658" customWidth="1"/>
    <col min="4624" max="4624" width="11.140625" style="1658" customWidth="1"/>
    <col min="4625" max="4625" width="10.140625" style="1658" customWidth="1"/>
    <col min="4626" max="4864" width="9.140625" style="1658"/>
    <col min="4865" max="4865" width="27.7109375" style="1658" customWidth="1"/>
    <col min="4866" max="4866" width="23.5703125" style="1658" customWidth="1"/>
    <col min="4867" max="4867" width="10.5703125" style="1658" customWidth="1"/>
    <col min="4868" max="4868" width="8.7109375" style="1658" customWidth="1"/>
    <col min="4869" max="4869" width="2.42578125" style="1658" customWidth="1"/>
    <col min="4870" max="4870" width="29.28515625" style="1658" customWidth="1"/>
    <col min="4871" max="4871" width="48.85546875" style="1658" customWidth="1"/>
    <col min="4872" max="4872" width="10.5703125" style="1658" customWidth="1"/>
    <col min="4873" max="4873" width="8.7109375" style="1658" customWidth="1"/>
    <col min="4874" max="4874" width="2" style="1658" customWidth="1"/>
    <col min="4875" max="4875" width="23.42578125" style="1658" customWidth="1"/>
    <col min="4876" max="4876" width="19.42578125" style="1658" customWidth="1"/>
    <col min="4877" max="4877" width="10.7109375" style="1658" customWidth="1"/>
    <col min="4878" max="4878" width="8.5703125" style="1658" customWidth="1"/>
    <col min="4879" max="4879" width="15.28515625" style="1658" customWidth="1"/>
    <col min="4880" max="4880" width="11.140625" style="1658" customWidth="1"/>
    <col min="4881" max="4881" width="10.140625" style="1658" customWidth="1"/>
    <col min="4882" max="5120" width="9.140625" style="1658"/>
    <col min="5121" max="5121" width="27.7109375" style="1658" customWidth="1"/>
    <col min="5122" max="5122" width="23.5703125" style="1658" customWidth="1"/>
    <col min="5123" max="5123" width="10.5703125" style="1658" customWidth="1"/>
    <col min="5124" max="5124" width="8.7109375" style="1658" customWidth="1"/>
    <col min="5125" max="5125" width="2.42578125" style="1658" customWidth="1"/>
    <col min="5126" max="5126" width="29.28515625" style="1658" customWidth="1"/>
    <col min="5127" max="5127" width="48.85546875" style="1658" customWidth="1"/>
    <col min="5128" max="5128" width="10.5703125" style="1658" customWidth="1"/>
    <col min="5129" max="5129" width="8.7109375" style="1658" customWidth="1"/>
    <col min="5130" max="5130" width="2" style="1658" customWidth="1"/>
    <col min="5131" max="5131" width="23.42578125" style="1658" customWidth="1"/>
    <col min="5132" max="5132" width="19.42578125" style="1658" customWidth="1"/>
    <col min="5133" max="5133" width="10.7109375" style="1658" customWidth="1"/>
    <col min="5134" max="5134" width="8.5703125" style="1658" customWidth="1"/>
    <col min="5135" max="5135" width="15.28515625" style="1658" customWidth="1"/>
    <col min="5136" max="5136" width="11.140625" style="1658" customWidth="1"/>
    <col min="5137" max="5137" width="10.140625" style="1658" customWidth="1"/>
    <col min="5138" max="5376" width="9.140625" style="1658"/>
    <col min="5377" max="5377" width="27.7109375" style="1658" customWidth="1"/>
    <col min="5378" max="5378" width="23.5703125" style="1658" customWidth="1"/>
    <col min="5379" max="5379" width="10.5703125" style="1658" customWidth="1"/>
    <col min="5380" max="5380" width="8.7109375" style="1658" customWidth="1"/>
    <col min="5381" max="5381" width="2.42578125" style="1658" customWidth="1"/>
    <col min="5382" max="5382" width="29.28515625" style="1658" customWidth="1"/>
    <col min="5383" max="5383" width="48.85546875" style="1658" customWidth="1"/>
    <col min="5384" max="5384" width="10.5703125" style="1658" customWidth="1"/>
    <col min="5385" max="5385" width="8.7109375" style="1658" customWidth="1"/>
    <col min="5386" max="5386" width="2" style="1658" customWidth="1"/>
    <col min="5387" max="5387" width="23.42578125" style="1658" customWidth="1"/>
    <col min="5388" max="5388" width="19.42578125" style="1658" customWidth="1"/>
    <col min="5389" max="5389" width="10.7109375" style="1658" customWidth="1"/>
    <col min="5390" max="5390" width="8.5703125" style="1658" customWidth="1"/>
    <col min="5391" max="5391" width="15.28515625" style="1658" customWidth="1"/>
    <col min="5392" max="5392" width="11.140625" style="1658" customWidth="1"/>
    <col min="5393" max="5393" width="10.140625" style="1658" customWidth="1"/>
    <col min="5394" max="5632" width="9.140625" style="1658"/>
    <col min="5633" max="5633" width="27.7109375" style="1658" customWidth="1"/>
    <col min="5634" max="5634" width="23.5703125" style="1658" customWidth="1"/>
    <col min="5635" max="5635" width="10.5703125" style="1658" customWidth="1"/>
    <col min="5636" max="5636" width="8.7109375" style="1658" customWidth="1"/>
    <col min="5637" max="5637" width="2.42578125" style="1658" customWidth="1"/>
    <col min="5638" max="5638" width="29.28515625" style="1658" customWidth="1"/>
    <col min="5639" max="5639" width="48.85546875" style="1658" customWidth="1"/>
    <col min="5640" max="5640" width="10.5703125" style="1658" customWidth="1"/>
    <col min="5641" max="5641" width="8.7109375" style="1658" customWidth="1"/>
    <col min="5642" max="5642" width="2" style="1658" customWidth="1"/>
    <col min="5643" max="5643" width="23.42578125" style="1658" customWidth="1"/>
    <col min="5644" max="5644" width="19.42578125" style="1658" customWidth="1"/>
    <col min="5645" max="5645" width="10.7109375" style="1658" customWidth="1"/>
    <col min="5646" max="5646" width="8.5703125" style="1658" customWidth="1"/>
    <col min="5647" max="5647" width="15.28515625" style="1658" customWidth="1"/>
    <col min="5648" max="5648" width="11.140625" style="1658" customWidth="1"/>
    <col min="5649" max="5649" width="10.140625" style="1658" customWidth="1"/>
    <col min="5650" max="5888" width="9.140625" style="1658"/>
    <col min="5889" max="5889" width="27.7109375" style="1658" customWidth="1"/>
    <col min="5890" max="5890" width="23.5703125" style="1658" customWidth="1"/>
    <col min="5891" max="5891" width="10.5703125" style="1658" customWidth="1"/>
    <col min="5892" max="5892" width="8.7109375" style="1658" customWidth="1"/>
    <col min="5893" max="5893" width="2.42578125" style="1658" customWidth="1"/>
    <col min="5894" max="5894" width="29.28515625" style="1658" customWidth="1"/>
    <col min="5895" max="5895" width="48.85546875" style="1658" customWidth="1"/>
    <col min="5896" max="5896" width="10.5703125" style="1658" customWidth="1"/>
    <col min="5897" max="5897" width="8.7109375" style="1658" customWidth="1"/>
    <col min="5898" max="5898" width="2" style="1658" customWidth="1"/>
    <col min="5899" max="5899" width="23.42578125" style="1658" customWidth="1"/>
    <col min="5900" max="5900" width="19.42578125" style="1658" customWidth="1"/>
    <col min="5901" max="5901" width="10.7109375" style="1658" customWidth="1"/>
    <col min="5902" max="5902" width="8.5703125" style="1658" customWidth="1"/>
    <col min="5903" max="5903" width="15.28515625" style="1658" customWidth="1"/>
    <col min="5904" max="5904" width="11.140625" style="1658" customWidth="1"/>
    <col min="5905" max="5905" width="10.140625" style="1658" customWidth="1"/>
    <col min="5906" max="6144" width="9.140625" style="1658"/>
    <col min="6145" max="6145" width="27.7109375" style="1658" customWidth="1"/>
    <col min="6146" max="6146" width="23.5703125" style="1658" customWidth="1"/>
    <col min="6147" max="6147" width="10.5703125" style="1658" customWidth="1"/>
    <col min="6148" max="6148" width="8.7109375" style="1658" customWidth="1"/>
    <col min="6149" max="6149" width="2.42578125" style="1658" customWidth="1"/>
    <col min="6150" max="6150" width="29.28515625" style="1658" customWidth="1"/>
    <col min="6151" max="6151" width="48.85546875" style="1658" customWidth="1"/>
    <col min="6152" max="6152" width="10.5703125" style="1658" customWidth="1"/>
    <col min="6153" max="6153" width="8.7109375" style="1658" customWidth="1"/>
    <col min="6154" max="6154" width="2" style="1658" customWidth="1"/>
    <col min="6155" max="6155" width="23.42578125" style="1658" customWidth="1"/>
    <col min="6156" max="6156" width="19.42578125" style="1658" customWidth="1"/>
    <col min="6157" max="6157" width="10.7109375" style="1658" customWidth="1"/>
    <col min="6158" max="6158" width="8.5703125" style="1658" customWidth="1"/>
    <col min="6159" max="6159" width="15.28515625" style="1658" customWidth="1"/>
    <col min="6160" max="6160" width="11.140625" style="1658" customWidth="1"/>
    <col min="6161" max="6161" width="10.140625" style="1658" customWidth="1"/>
    <col min="6162" max="6400" width="9.140625" style="1658"/>
    <col min="6401" max="6401" width="27.7109375" style="1658" customWidth="1"/>
    <col min="6402" max="6402" width="23.5703125" style="1658" customWidth="1"/>
    <col min="6403" max="6403" width="10.5703125" style="1658" customWidth="1"/>
    <col min="6404" max="6404" width="8.7109375" style="1658" customWidth="1"/>
    <col min="6405" max="6405" width="2.42578125" style="1658" customWidth="1"/>
    <col min="6406" max="6406" width="29.28515625" style="1658" customWidth="1"/>
    <col min="6407" max="6407" width="48.85546875" style="1658" customWidth="1"/>
    <col min="6408" max="6408" width="10.5703125" style="1658" customWidth="1"/>
    <col min="6409" max="6409" width="8.7109375" style="1658" customWidth="1"/>
    <col min="6410" max="6410" width="2" style="1658" customWidth="1"/>
    <col min="6411" max="6411" width="23.42578125" style="1658" customWidth="1"/>
    <col min="6412" max="6412" width="19.42578125" style="1658" customWidth="1"/>
    <col min="6413" max="6413" width="10.7109375" style="1658" customWidth="1"/>
    <col min="6414" max="6414" width="8.5703125" style="1658" customWidth="1"/>
    <col min="6415" max="6415" width="15.28515625" style="1658" customWidth="1"/>
    <col min="6416" max="6416" width="11.140625" style="1658" customWidth="1"/>
    <col min="6417" max="6417" width="10.140625" style="1658" customWidth="1"/>
    <col min="6418" max="6656" width="9.140625" style="1658"/>
    <col min="6657" max="6657" width="27.7109375" style="1658" customWidth="1"/>
    <col min="6658" max="6658" width="23.5703125" style="1658" customWidth="1"/>
    <col min="6659" max="6659" width="10.5703125" style="1658" customWidth="1"/>
    <col min="6660" max="6660" width="8.7109375" style="1658" customWidth="1"/>
    <col min="6661" max="6661" width="2.42578125" style="1658" customWidth="1"/>
    <col min="6662" max="6662" width="29.28515625" style="1658" customWidth="1"/>
    <col min="6663" max="6663" width="48.85546875" style="1658" customWidth="1"/>
    <col min="6664" max="6664" width="10.5703125" style="1658" customWidth="1"/>
    <col min="6665" max="6665" width="8.7109375" style="1658" customWidth="1"/>
    <col min="6666" max="6666" width="2" style="1658" customWidth="1"/>
    <col min="6667" max="6667" width="23.42578125" style="1658" customWidth="1"/>
    <col min="6668" max="6668" width="19.42578125" style="1658" customWidth="1"/>
    <col min="6669" max="6669" width="10.7109375" style="1658" customWidth="1"/>
    <col min="6670" max="6670" width="8.5703125" style="1658" customWidth="1"/>
    <col min="6671" max="6671" width="15.28515625" style="1658" customWidth="1"/>
    <col min="6672" max="6672" width="11.140625" style="1658" customWidth="1"/>
    <col min="6673" max="6673" width="10.140625" style="1658" customWidth="1"/>
    <col min="6674" max="6912" width="9.140625" style="1658"/>
    <col min="6913" max="6913" width="27.7109375" style="1658" customWidth="1"/>
    <col min="6914" max="6914" width="23.5703125" style="1658" customWidth="1"/>
    <col min="6915" max="6915" width="10.5703125" style="1658" customWidth="1"/>
    <col min="6916" max="6916" width="8.7109375" style="1658" customWidth="1"/>
    <col min="6917" max="6917" width="2.42578125" style="1658" customWidth="1"/>
    <col min="6918" max="6918" width="29.28515625" style="1658" customWidth="1"/>
    <col min="6919" max="6919" width="48.85546875" style="1658" customWidth="1"/>
    <col min="6920" max="6920" width="10.5703125" style="1658" customWidth="1"/>
    <col min="6921" max="6921" width="8.7109375" style="1658" customWidth="1"/>
    <col min="6922" max="6922" width="2" style="1658" customWidth="1"/>
    <col min="6923" max="6923" width="23.42578125" style="1658" customWidth="1"/>
    <col min="6924" max="6924" width="19.42578125" style="1658" customWidth="1"/>
    <col min="6925" max="6925" width="10.7109375" style="1658" customWidth="1"/>
    <col min="6926" max="6926" width="8.5703125" style="1658" customWidth="1"/>
    <col min="6927" max="6927" width="15.28515625" style="1658" customWidth="1"/>
    <col min="6928" max="6928" width="11.140625" style="1658" customWidth="1"/>
    <col min="6929" max="6929" width="10.140625" style="1658" customWidth="1"/>
    <col min="6930" max="7168" width="9.140625" style="1658"/>
    <col min="7169" max="7169" width="27.7109375" style="1658" customWidth="1"/>
    <col min="7170" max="7170" width="23.5703125" style="1658" customWidth="1"/>
    <col min="7171" max="7171" width="10.5703125" style="1658" customWidth="1"/>
    <col min="7172" max="7172" width="8.7109375" style="1658" customWidth="1"/>
    <col min="7173" max="7173" width="2.42578125" style="1658" customWidth="1"/>
    <col min="7174" max="7174" width="29.28515625" style="1658" customWidth="1"/>
    <col min="7175" max="7175" width="48.85546875" style="1658" customWidth="1"/>
    <col min="7176" max="7176" width="10.5703125" style="1658" customWidth="1"/>
    <col min="7177" max="7177" width="8.7109375" style="1658" customWidth="1"/>
    <col min="7178" max="7178" width="2" style="1658" customWidth="1"/>
    <col min="7179" max="7179" width="23.42578125" style="1658" customWidth="1"/>
    <col min="7180" max="7180" width="19.42578125" style="1658" customWidth="1"/>
    <col min="7181" max="7181" width="10.7109375" style="1658" customWidth="1"/>
    <col min="7182" max="7182" width="8.5703125" style="1658" customWidth="1"/>
    <col min="7183" max="7183" width="15.28515625" style="1658" customWidth="1"/>
    <col min="7184" max="7184" width="11.140625" style="1658" customWidth="1"/>
    <col min="7185" max="7185" width="10.140625" style="1658" customWidth="1"/>
    <col min="7186" max="7424" width="9.140625" style="1658"/>
    <col min="7425" max="7425" width="27.7109375" style="1658" customWidth="1"/>
    <col min="7426" max="7426" width="23.5703125" style="1658" customWidth="1"/>
    <col min="7427" max="7427" width="10.5703125" style="1658" customWidth="1"/>
    <col min="7428" max="7428" width="8.7109375" style="1658" customWidth="1"/>
    <col min="7429" max="7429" width="2.42578125" style="1658" customWidth="1"/>
    <col min="7430" max="7430" width="29.28515625" style="1658" customWidth="1"/>
    <col min="7431" max="7431" width="48.85546875" style="1658" customWidth="1"/>
    <col min="7432" max="7432" width="10.5703125" style="1658" customWidth="1"/>
    <col min="7433" max="7433" width="8.7109375" style="1658" customWidth="1"/>
    <col min="7434" max="7434" width="2" style="1658" customWidth="1"/>
    <col min="7435" max="7435" width="23.42578125" style="1658" customWidth="1"/>
    <col min="7436" max="7436" width="19.42578125" style="1658" customWidth="1"/>
    <col min="7437" max="7437" width="10.7109375" style="1658" customWidth="1"/>
    <col min="7438" max="7438" width="8.5703125" style="1658" customWidth="1"/>
    <col min="7439" max="7439" width="15.28515625" style="1658" customWidth="1"/>
    <col min="7440" max="7440" width="11.140625" style="1658" customWidth="1"/>
    <col min="7441" max="7441" width="10.140625" style="1658" customWidth="1"/>
    <col min="7442" max="7680" width="9.140625" style="1658"/>
    <col min="7681" max="7681" width="27.7109375" style="1658" customWidth="1"/>
    <col min="7682" max="7682" width="23.5703125" style="1658" customWidth="1"/>
    <col min="7683" max="7683" width="10.5703125" style="1658" customWidth="1"/>
    <col min="7684" max="7684" width="8.7109375" style="1658" customWidth="1"/>
    <col min="7685" max="7685" width="2.42578125" style="1658" customWidth="1"/>
    <col min="7686" max="7686" width="29.28515625" style="1658" customWidth="1"/>
    <col min="7687" max="7687" width="48.85546875" style="1658" customWidth="1"/>
    <col min="7688" max="7688" width="10.5703125" style="1658" customWidth="1"/>
    <col min="7689" max="7689" width="8.7109375" style="1658" customWidth="1"/>
    <col min="7690" max="7690" width="2" style="1658" customWidth="1"/>
    <col min="7691" max="7691" width="23.42578125" style="1658" customWidth="1"/>
    <col min="7692" max="7692" width="19.42578125" style="1658" customWidth="1"/>
    <col min="7693" max="7693" width="10.7109375" style="1658" customWidth="1"/>
    <col min="7694" max="7694" width="8.5703125" style="1658" customWidth="1"/>
    <col min="7695" max="7695" width="15.28515625" style="1658" customWidth="1"/>
    <col min="7696" max="7696" width="11.140625" style="1658" customWidth="1"/>
    <col min="7697" max="7697" width="10.140625" style="1658" customWidth="1"/>
    <col min="7698" max="7936" width="9.140625" style="1658"/>
    <col min="7937" max="7937" width="27.7109375" style="1658" customWidth="1"/>
    <col min="7938" max="7938" width="23.5703125" style="1658" customWidth="1"/>
    <col min="7939" max="7939" width="10.5703125" style="1658" customWidth="1"/>
    <col min="7940" max="7940" width="8.7109375" style="1658" customWidth="1"/>
    <col min="7941" max="7941" width="2.42578125" style="1658" customWidth="1"/>
    <col min="7942" max="7942" width="29.28515625" style="1658" customWidth="1"/>
    <col min="7943" max="7943" width="48.85546875" style="1658" customWidth="1"/>
    <col min="7944" max="7944" width="10.5703125" style="1658" customWidth="1"/>
    <col min="7945" max="7945" width="8.7109375" style="1658" customWidth="1"/>
    <col min="7946" max="7946" width="2" style="1658" customWidth="1"/>
    <col min="7947" max="7947" width="23.42578125" style="1658" customWidth="1"/>
    <col min="7948" max="7948" width="19.42578125" style="1658" customWidth="1"/>
    <col min="7949" max="7949" width="10.7109375" style="1658" customWidth="1"/>
    <col min="7950" max="7950" width="8.5703125" style="1658" customWidth="1"/>
    <col min="7951" max="7951" width="15.28515625" style="1658" customWidth="1"/>
    <col min="7952" max="7952" width="11.140625" style="1658" customWidth="1"/>
    <col min="7953" max="7953" width="10.140625" style="1658" customWidth="1"/>
    <col min="7954" max="8192" width="9.140625" style="1658"/>
    <col min="8193" max="8193" width="27.7109375" style="1658" customWidth="1"/>
    <col min="8194" max="8194" width="23.5703125" style="1658" customWidth="1"/>
    <col min="8195" max="8195" width="10.5703125" style="1658" customWidth="1"/>
    <col min="8196" max="8196" width="8.7109375" style="1658" customWidth="1"/>
    <col min="8197" max="8197" width="2.42578125" style="1658" customWidth="1"/>
    <col min="8198" max="8198" width="29.28515625" style="1658" customWidth="1"/>
    <col min="8199" max="8199" width="48.85546875" style="1658" customWidth="1"/>
    <col min="8200" max="8200" width="10.5703125" style="1658" customWidth="1"/>
    <col min="8201" max="8201" width="8.7109375" style="1658" customWidth="1"/>
    <col min="8202" max="8202" width="2" style="1658" customWidth="1"/>
    <col min="8203" max="8203" width="23.42578125" style="1658" customWidth="1"/>
    <col min="8204" max="8204" width="19.42578125" style="1658" customWidth="1"/>
    <col min="8205" max="8205" width="10.7109375" style="1658" customWidth="1"/>
    <col min="8206" max="8206" width="8.5703125" style="1658" customWidth="1"/>
    <col min="8207" max="8207" width="15.28515625" style="1658" customWidth="1"/>
    <col min="8208" max="8208" width="11.140625" style="1658" customWidth="1"/>
    <col min="8209" max="8209" width="10.140625" style="1658" customWidth="1"/>
    <col min="8210" max="8448" width="9.140625" style="1658"/>
    <col min="8449" max="8449" width="27.7109375" style="1658" customWidth="1"/>
    <col min="8450" max="8450" width="23.5703125" style="1658" customWidth="1"/>
    <col min="8451" max="8451" width="10.5703125" style="1658" customWidth="1"/>
    <col min="8452" max="8452" width="8.7109375" style="1658" customWidth="1"/>
    <col min="8453" max="8453" width="2.42578125" style="1658" customWidth="1"/>
    <col min="8454" max="8454" width="29.28515625" style="1658" customWidth="1"/>
    <col min="8455" max="8455" width="48.85546875" style="1658" customWidth="1"/>
    <col min="8456" max="8456" width="10.5703125" style="1658" customWidth="1"/>
    <col min="8457" max="8457" width="8.7109375" style="1658" customWidth="1"/>
    <col min="8458" max="8458" width="2" style="1658" customWidth="1"/>
    <col min="8459" max="8459" width="23.42578125" style="1658" customWidth="1"/>
    <col min="8460" max="8460" width="19.42578125" style="1658" customWidth="1"/>
    <col min="8461" max="8461" width="10.7109375" style="1658" customWidth="1"/>
    <col min="8462" max="8462" width="8.5703125" style="1658" customWidth="1"/>
    <col min="8463" max="8463" width="15.28515625" style="1658" customWidth="1"/>
    <col min="8464" max="8464" width="11.140625" style="1658" customWidth="1"/>
    <col min="8465" max="8465" width="10.140625" style="1658" customWidth="1"/>
    <col min="8466" max="8704" width="9.140625" style="1658"/>
    <col min="8705" max="8705" width="27.7109375" style="1658" customWidth="1"/>
    <col min="8706" max="8706" width="23.5703125" style="1658" customWidth="1"/>
    <col min="8707" max="8707" width="10.5703125" style="1658" customWidth="1"/>
    <col min="8708" max="8708" width="8.7109375" style="1658" customWidth="1"/>
    <col min="8709" max="8709" width="2.42578125" style="1658" customWidth="1"/>
    <col min="8710" max="8710" width="29.28515625" style="1658" customWidth="1"/>
    <col min="8711" max="8711" width="48.85546875" style="1658" customWidth="1"/>
    <col min="8712" max="8712" width="10.5703125" style="1658" customWidth="1"/>
    <col min="8713" max="8713" width="8.7109375" style="1658" customWidth="1"/>
    <col min="8714" max="8714" width="2" style="1658" customWidth="1"/>
    <col min="8715" max="8715" width="23.42578125" style="1658" customWidth="1"/>
    <col min="8716" max="8716" width="19.42578125" style="1658" customWidth="1"/>
    <col min="8717" max="8717" width="10.7109375" style="1658" customWidth="1"/>
    <col min="8718" max="8718" width="8.5703125" style="1658" customWidth="1"/>
    <col min="8719" max="8719" width="15.28515625" style="1658" customWidth="1"/>
    <col min="8720" max="8720" width="11.140625" style="1658" customWidth="1"/>
    <col min="8721" max="8721" width="10.140625" style="1658" customWidth="1"/>
    <col min="8722" max="8960" width="9.140625" style="1658"/>
    <col min="8961" max="8961" width="27.7109375" style="1658" customWidth="1"/>
    <col min="8962" max="8962" width="23.5703125" style="1658" customWidth="1"/>
    <col min="8963" max="8963" width="10.5703125" style="1658" customWidth="1"/>
    <col min="8964" max="8964" width="8.7109375" style="1658" customWidth="1"/>
    <col min="8965" max="8965" width="2.42578125" style="1658" customWidth="1"/>
    <col min="8966" max="8966" width="29.28515625" style="1658" customWidth="1"/>
    <col min="8967" max="8967" width="48.85546875" style="1658" customWidth="1"/>
    <col min="8968" max="8968" width="10.5703125" style="1658" customWidth="1"/>
    <col min="8969" max="8969" width="8.7109375" style="1658" customWidth="1"/>
    <col min="8970" max="8970" width="2" style="1658" customWidth="1"/>
    <col min="8971" max="8971" width="23.42578125" style="1658" customWidth="1"/>
    <col min="8972" max="8972" width="19.42578125" style="1658" customWidth="1"/>
    <col min="8973" max="8973" width="10.7109375" style="1658" customWidth="1"/>
    <col min="8974" max="8974" width="8.5703125" style="1658" customWidth="1"/>
    <col min="8975" max="8975" width="15.28515625" style="1658" customWidth="1"/>
    <col min="8976" max="8976" width="11.140625" style="1658" customWidth="1"/>
    <col min="8977" max="8977" width="10.140625" style="1658" customWidth="1"/>
    <col min="8978" max="9216" width="9.140625" style="1658"/>
    <col min="9217" max="9217" width="27.7109375" style="1658" customWidth="1"/>
    <col min="9218" max="9218" width="23.5703125" style="1658" customWidth="1"/>
    <col min="9219" max="9219" width="10.5703125" style="1658" customWidth="1"/>
    <col min="9220" max="9220" width="8.7109375" style="1658" customWidth="1"/>
    <col min="9221" max="9221" width="2.42578125" style="1658" customWidth="1"/>
    <col min="9222" max="9222" width="29.28515625" style="1658" customWidth="1"/>
    <col min="9223" max="9223" width="48.85546875" style="1658" customWidth="1"/>
    <col min="9224" max="9224" width="10.5703125" style="1658" customWidth="1"/>
    <col min="9225" max="9225" width="8.7109375" style="1658" customWidth="1"/>
    <col min="9226" max="9226" width="2" style="1658" customWidth="1"/>
    <col min="9227" max="9227" width="23.42578125" style="1658" customWidth="1"/>
    <col min="9228" max="9228" width="19.42578125" style="1658" customWidth="1"/>
    <col min="9229" max="9229" width="10.7109375" style="1658" customWidth="1"/>
    <col min="9230" max="9230" width="8.5703125" style="1658" customWidth="1"/>
    <col min="9231" max="9231" width="15.28515625" style="1658" customWidth="1"/>
    <col min="9232" max="9232" width="11.140625" style="1658" customWidth="1"/>
    <col min="9233" max="9233" width="10.140625" style="1658" customWidth="1"/>
    <col min="9234" max="9472" width="9.140625" style="1658"/>
    <col min="9473" max="9473" width="27.7109375" style="1658" customWidth="1"/>
    <col min="9474" max="9474" width="23.5703125" style="1658" customWidth="1"/>
    <col min="9475" max="9475" width="10.5703125" style="1658" customWidth="1"/>
    <col min="9476" max="9476" width="8.7109375" style="1658" customWidth="1"/>
    <col min="9477" max="9477" width="2.42578125" style="1658" customWidth="1"/>
    <col min="9478" max="9478" width="29.28515625" style="1658" customWidth="1"/>
    <col min="9479" max="9479" width="48.85546875" style="1658" customWidth="1"/>
    <col min="9480" max="9480" width="10.5703125" style="1658" customWidth="1"/>
    <col min="9481" max="9481" width="8.7109375" style="1658" customWidth="1"/>
    <col min="9482" max="9482" width="2" style="1658" customWidth="1"/>
    <col min="9483" max="9483" width="23.42578125" style="1658" customWidth="1"/>
    <col min="9484" max="9484" width="19.42578125" style="1658" customWidth="1"/>
    <col min="9485" max="9485" width="10.7109375" style="1658" customWidth="1"/>
    <col min="9486" max="9486" width="8.5703125" style="1658" customWidth="1"/>
    <col min="9487" max="9487" width="15.28515625" style="1658" customWidth="1"/>
    <col min="9488" max="9488" width="11.140625" style="1658" customWidth="1"/>
    <col min="9489" max="9489" width="10.140625" style="1658" customWidth="1"/>
    <col min="9490" max="9728" width="9.140625" style="1658"/>
    <col min="9729" max="9729" width="27.7109375" style="1658" customWidth="1"/>
    <col min="9730" max="9730" width="23.5703125" style="1658" customWidth="1"/>
    <col min="9731" max="9731" width="10.5703125" style="1658" customWidth="1"/>
    <col min="9732" max="9732" width="8.7109375" style="1658" customWidth="1"/>
    <col min="9733" max="9733" width="2.42578125" style="1658" customWidth="1"/>
    <col min="9734" max="9734" width="29.28515625" style="1658" customWidth="1"/>
    <col min="9735" max="9735" width="48.85546875" style="1658" customWidth="1"/>
    <col min="9736" max="9736" width="10.5703125" style="1658" customWidth="1"/>
    <col min="9737" max="9737" width="8.7109375" style="1658" customWidth="1"/>
    <col min="9738" max="9738" width="2" style="1658" customWidth="1"/>
    <col min="9739" max="9739" width="23.42578125" style="1658" customWidth="1"/>
    <col min="9740" max="9740" width="19.42578125" style="1658" customWidth="1"/>
    <col min="9741" max="9741" width="10.7109375" style="1658" customWidth="1"/>
    <col min="9742" max="9742" width="8.5703125" style="1658" customWidth="1"/>
    <col min="9743" max="9743" width="15.28515625" style="1658" customWidth="1"/>
    <col min="9744" max="9744" width="11.140625" style="1658" customWidth="1"/>
    <col min="9745" max="9745" width="10.140625" style="1658" customWidth="1"/>
    <col min="9746" max="9984" width="9.140625" style="1658"/>
    <col min="9985" max="9985" width="27.7109375" style="1658" customWidth="1"/>
    <col min="9986" max="9986" width="23.5703125" style="1658" customWidth="1"/>
    <col min="9987" max="9987" width="10.5703125" style="1658" customWidth="1"/>
    <col min="9988" max="9988" width="8.7109375" style="1658" customWidth="1"/>
    <col min="9989" max="9989" width="2.42578125" style="1658" customWidth="1"/>
    <col min="9990" max="9990" width="29.28515625" style="1658" customWidth="1"/>
    <col min="9991" max="9991" width="48.85546875" style="1658" customWidth="1"/>
    <col min="9992" max="9992" width="10.5703125" style="1658" customWidth="1"/>
    <col min="9993" max="9993" width="8.7109375" style="1658" customWidth="1"/>
    <col min="9994" max="9994" width="2" style="1658" customWidth="1"/>
    <col min="9995" max="9995" width="23.42578125" style="1658" customWidth="1"/>
    <col min="9996" max="9996" width="19.42578125" style="1658" customWidth="1"/>
    <col min="9997" max="9997" width="10.7109375" style="1658" customWidth="1"/>
    <col min="9998" max="9998" width="8.5703125" style="1658" customWidth="1"/>
    <col min="9999" max="9999" width="15.28515625" style="1658" customWidth="1"/>
    <col min="10000" max="10000" width="11.140625" style="1658" customWidth="1"/>
    <col min="10001" max="10001" width="10.140625" style="1658" customWidth="1"/>
    <col min="10002" max="10240" width="9.140625" style="1658"/>
    <col min="10241" max="10241" width="27.7109375" style="1658" customWidth="1"/>
    <col min="10242" max="10242" width="23.5703125" style="1658" customWidth="1"/>
    <col min="10243" max="10243" width="10.5703125" style="1658" customWidth="1"/>
    <col min="10244" max="10244" width="8.7109375" style="1658" customWidth="1"/>
    <col min="10245" max="10245" width="2.42578125" style="1658" customWidth="1"/>
    <col min="10246" max="10246" width="29.28515625" style="1658" customWidth="1"/>
    <col min="10247" max="10247" width="48.85546875" style="1658" customWidth="1"/>
    <col min="10248" max="10248" width="10.5703125" style="1658" customWidth="1"/>
    <col min="10249" max="10249" width="8.7109375" style="1658" customWidth="1"/>
    <col min="10250" max="10250" width="2" style="1658" customWidth="1"/>
    <col min="10251" max="10251" width="23.42578125" style="1658" customWidth="1"/>
    <col min="10252" max="10252" width="19.42578125" style="1658" customWidth="1"/>
    <col min="10253" max="10253" width="10.7109375" style="1658" customWidth="1"/>
    <col min="10254" max="10254" width="8.5703125" style="1658" customWidth="1"/>
    <col min="10255" max="10255" width="15.28515625" style="1658" customWidth="1"/>
    <col min="10256" max="10256" width="11.140625" style="1658" customWidth="1"/>
    <col min="10257" max="10257" width="10.140625" style="1658" customWidth="1"/>
    <col min="10258" max="10496" width="9.140625" style="1658"/>
    <col min="10497" max="10497" width="27.7109375" style="1658" customWidth="1"/>
    <col min="10498" max="10498" width="23.5703125" style="1658" customWidth="1"/>
    <col min="10499" max="10499" width="10.5703125" style="1658" customWidth="1"/>
    <col min="10500" max="10500" width="8.7109375" style="1658" customWidth="1"/>
    <col min="10501" max="10501" width="2.42578125" style="1658" customWidth="1"/>
    <col min="10502" max="10502" width="29.28515625" style="1658" customWidth="1"/>
    <col min="10503" max="10503" width="48.85546875" style="1658" customWidth="1"/>
    <col min="10504" max="10504" width="10.5703125" style="1658" customWidth="1"/>
    <col min="10505" max="10505" width="8.7109375" style="1658" customWidth="1"/>
    <col min="10506" max="10506" width="2" style="1658" customWidth="1"/>
    <col min="10507" max="10507" width="23.42578125" style="1658" customWidth="1"/>
    <col min="10508" max="10508" width="19.42578125" style="1658" customWidth="1"/>
    <col min="10509" max="10509" width="10.7109375" style="1658" customWidth="1"/>
    <col min="10510" max="10510" width="8.5703125" style="1658" customWidth="1"/>
    <col min="10511" max="10511" width="15.28515625" style="1658" customWidth="1"/>
    <col min="10512" max="10512" width="11.140625" style="1658" customWidth="1"/>
    <col min="10513" max="10513" width="10.140625" style="1658" customWidth="1"/>
    <col min="10514" max="10752" width="9.140625" style="1658"/>
    <col min="10753" max="10753" width="27.7109375" style="1658" customWidth="1"/>
    <col min="10754" max="10754" width="23.5703125" style="1658" customWidth="1"/>
    <col min="10755" max="10755" width="10.5703125" style="1658" customWidth="1"/>
    <col min="10756" max="10756" width="8.7109375" style="1658" customWidth="1"/>
    <col min="10757" max="10757" width="2.42578125" style="1658" customWidth="1"/>
    <col min="10758" max="10758" width="29.28515625" style="1658" customWidth="1"/>
    <col min="10759" max="10759" width="48.85546875" style="1658" customWidth="1"/>
    <col min="10760" max="10760" width="10.5703125" style="1658" customWidth="1"/>
    <col min="10761" max="10761" width="8.7109375" style="1658" customWidth="1"/>
    <col min="10762" max="10762" width="2" style="1658" customWidth="1"/>
    <col min="10763" max="10763" width="23.42578125" style="1658" customWidth="1"/>
    <col min="10764" max="10764" width="19.42578125" style="1658" customWidth="1"/>
    <col min="10765" max="10765" width="10.7109375" style="1658" customWidth="1"/>
    <col min="10766" max="10766" width="8.5703125" style="1658" customWidth="1"/>
    <col min="10767" max="10767" width="15.28515625" style="1658" customWidth="1"/>
    <col min="10768" max="10768" width="11.140625" style="1658" customWidth="1"/>
    <col min="10769" max="10769" width="10.140625" style="1658" customWidth="1"/>
    <col min="10770" max="11008" width="9.140625" style="1658"/>
    <col min="11009" max="11009" width="27.7109375" style="1658" customWidth="1"/>
    <col min="11010" max="11010" width="23.5703125" style="1658" customWidth="1"/>
    <col min="11011" max="11011" width="10.5703125" style="1658" customWidth="1"/>
    <col min="11012" max="11012" width="8.7109375" style="1658" customWidth="1"/>
    <col min="11013" max="11013" width="2.42578125" style="1658" customWidth="1"/>
    <col min="11014" max="11014" width="29.28515625" style="1658" customWidth="1"/>
    <col min="11015" max="11015" width="48.85546875" style="1658" customWidth="1"/>
    <col min="11016" max="11016" width="10.5703125" style="1658" customWidth="1"/>
    <col min="11017" max="11017" width="8.7109375" style="1658" customWidth="1"/>
    <col min="11018" max="11018" width="2" style="1658" customWidth="1"/>
    <col min="11019" max="11019" width="23.42578125" style="1658" customWidth="1"/>
    <col min="11020" max="11020" width="19.42578125" style="1658" customWidth="1"/>
    <col min="11021" max="11021" width="10.7109375" style="1658" customWidth="1"/>
    <col min="11022" max="11022" width="8.5703125" style="1658" customWidth="1"/>
    <col min="11023" max="11023" width="15.28515625" style="1658" customWidth="1"/>
    <col min="11024" max="11024" width="11.140625" style="1658" customWidth="1"/>
    <col min="11025" max="11025" width="10.140625" style="1658" customWidth="1"/>
    <col min="11026" max="11264" width="9.140625" style="1658"/>
    <col min="11265" max="11265" width="27.7109375" style="1658" customWidth="1"/>
    <col min="11266" max="11266" width="23.5703125" style="1658" customWidth="1"/>
    <col min="11267" max="11267" width="10.5703125" style="1658" customWidth="1"/>
    <col min="11268" max="11268" width="8.7109375" style="1658" customWidth="1"/>
    <col min="11269" max="11269" width="2.42578125" style="1658" customWidth="1"/>
    <col min="11270" max="11270" width="29.28515625" style="1658" customWidth="1"/>
    <col min="11271" max="11271" width="48.85546875" style="1658" customWidth="1"/>
    <col min="11272" max="11272" width="10.5703125" style="1658" customWidth="1"/>
    <col min="11273" max="11273" width="8.7109375" style="1658" customWidth="1"/>
    <col min="11274" max="11274" width="2" style="1658" customWidth="1"/>
    <col min="11275" max="11275" width="23.42578125" style="1658" customWidth="1"/>
    <col min="11276" max="11276" width="19.42578125" style="1658" customWidth="1"/>
    <col min="11277" max="11277" width="10.7109375" style="1658" customWidth="1"/>
    <col min="11278" max="11278" width="8.5703125" style="1658" customWidth="1"/>
    <col min="11279" max="11279" width="15.28515625" style="1658" customWidth="1"/>
    <col min="11280" max="11280" width="11.140625" style="1658" customWidth="1"/>
    <col min="11281" max="11281" width="10.140625" style="1658" customWidth="1"/>
    <col min="11282" max="11520" width="9.140625" style="1658"/>
    <col min="11521" max="11521" width="27.7109375" style="1658" customWidth="1"/>
    <col min="11522" max="11522" width="23.5703125" style="1658" customWidth="1"/>
    <col min="11523" max="11523" width="10.5703125" style="1658" customWidth="1"/>
    <col min="11524" max="11524" width="8.7109375" style="1658" customWidth="1"/>
    <col min="11525" max="11525" width="2.42578125" style="1658" customWidth="1"/>
    <col min="11526" max="11526" width="29.28515625" style="1658" customWidth="1"/>
    <col min="11527" max="11527" width="48.85546875" style="1658" customWidth="1"/>
    <col min="11528" max="11528" width="10.5703125" style="1658" customWidth="1"/>
    <col min="11529" max="11529" width="8.7109375" style="1658" customWidth="1"/>
    <col min="11530" max="11530" width="2" style="1658" customWidth="1"/>
    <col min="11531" max="11531" width="23.42578125" style="1658" customWidth="1"/>
    <col min="11532" max="11532" width="19.42578125" style="1658" customWidth="1"/>
    <col min="11533" max="11533" width="10.7109375" style="1658" customWidth="1"/>
    <col min="11534" max="11534" width="8.5703125" style="1658" customWidth="1"/>
    <col min="11535" max="11535" width="15.28515625" style="1658" customWidth="1"/>
    <col min="11536" max="11536" width="11.140625" style="1658" customWidth="1"/>
    <col min="11537" max="11537" width="10.140625" style="1658" customWidth="1"/>
    <col min="11538" max="11776" width="9.140625" style="1658"/>
    <col min="11777" max="11777" width="27.7109375" style="1658" customWidth="1"/>
    <col min="11778" max="11778" width="23.5703125" style="1658" customWidth="1"/>
    <col min="11779" max="11779" width="10.5703125" style="1658" customWidth="1"/>
    <col min="11780" max="11780" width="8.7109375" style="1658" customWidth="1"/>
    <col min="11781" max="11781" width="2.42578125" style="1658" customWidth="1"/>
    <col min="11782" max="11782" width="29.28515625" style="1658" customWidth="1"/>
    <col min="11783" max="11783" width="48.85546875" style="1658" customWidth="1"/>
    <col min="11784" max="11784" width="10.5703125" style="1658" customWidth="1"/>
    <col min="11785" max="11785" width="8.7109375" style="1658" customWidth="1"/>
    <col min="11786" max="11786" width="2" style="1658" customWidth="1"/>
    <col min="11787" max="11787" width="23.42578125" style="1658" customWidth="1"/>
    <col min="11788" max="11788" width="19.42578125" style="1658" customWidth="1"/>
    <col min="11789" max="11789" width="10.7109375" style="1658" customWidth="1"/>
    <col min="11790" max="11790" width="8.5703125" style="1658" customWidth="1"/>
    <col min="11791" max="11791" width="15.28515625" style="1658" customWidth="1"/>
    <col min="11792" max="11792" width="11.140625" style="1658" customWidth="1"/>
    <col min="11793" max="11793" width="10.140625" style="1658" customWidth="1"/>
    <col min="11794" max="12032" width="9.140625" style="1658"/>
    <col min="12033" max="12033" width="27.7109375" style="1658" customWidth="1"/>
    <col min="12034" max="12034" width="23.5703125" style="1658" customWidth="1"/>
    <col min="12035" max="12035" width="10.5703125" style="1658" customWidth="1"/>
    <col min="12036" max="12036" width="8.7109375" style="1658" customWidth="1"/>
    <col min="12037" max="12037" width="2.42578125" style="1658" customWidth="1"/>
    <col min="12038" max="12038" width="29.28515625" style="1658" customWidth="1"/>
    <col min="12039" max="12039" width="48.85546875" style="1658" customWidth="1"/>
    <col min="12040" max="12040" width="10.5703125" style="1658" customWidth="1"/>
    <col min="12041" max="12041" width="8.7109375" style="1658" customWidth="1"/>
    <col min="12042" max="12042" width="2" style="1658" customWidth="1"/>
    <col min="12043" max="12043" width="23.42578125" style="1658" customWidth="1"/>
    <col min="12044" max="12044" width="19.42578125" style="1658" customWidth="1"/>
    <col min="12045" max="12045" width="10.7109375" style="1658" customWidth="1"/>
    <col min="12046" max="12046" width="8.5703125" style="1658" customWidth="1"/>
    <col min="12047" max="12047" width="15.28515625" style="1658" customWidth="1"/>
    <col min="12048" max="12048" width="11.140625" style="1658" customWidth="1"/>
    <col min="12049" max="12049" width="10.140625" style="1658" customWidth="1"/>
    <col min="12050" max="12288" width="9.140625" style="1658"/>
    <col min="12289" max="12289" width="27.7109375" style="1658" customWidth="1"/>
    <col min="12290" max="12290" width="23.5703125" style="1658" customWidth="1"/>
    <col min="12291" max="12291" width="10.5703125" style="1658" customWidth="1"/>
    <col min="12292" max="12292" width="8.7109375" style="1658" customWidth="1"/>
    <col min="12293" max="12293" width="2.42578125" style="1658" customWidth="1"/>
    <col min="12294" max="12294" width="29.28515625" style="1658" customWidth="1"/>
    <col min="12295" max="12295" width="48.85546875" style="1658" customWidth="1"/>
    <col min="12296" max="12296" width="10.5703125" style="1658" customWidth="1"/>
    <col min="12297" max="12297" width="8.7109375" style="1658" customWidth="1"/>
    <col min="12298" max="12298" width="2" style="1658" customWidth="1"/>
    <col min="12299" max="12299" width="23.42578125" style="1658" customWidth="1"/>
    <col min="12300" max="12300" width="19.42578125" style="1658" customWidth="1"/>
    <col min="12301" max="12301" width="10.7109375" style="1658" customWidth="1"/>
    <col min="12302" max="12302" width="8.5703125" style="1658" customWidth="1"/>
    <col min="12303" max="12303" width="15.28515625" style="1658" customWidth="1"/>
    <col min="12304" max="12304" width="11.140625" style="1658" customWidth="1"/>
    <col min="12305" max="12305" width="10.140625" style="1658" customWidth="1"/>
    <col min="12306" max="12544" width="9.140625" style="1658"/>
    <col min="12545" max="12545" width="27.7109375" style="1658" customWidth="1"/>
    <col min="12546" max="12546" width="23.5703125" style="1658" customWidth="1"/>
    <col min="12547" max="12547" width="10.5703125" style="1658" customWidth="1"/>
    <col min="12548" max="12548" width="8.7109375" style="1658" customWidth="1"/>
    <col min="12549" max="12549" width="2.42578125" style="1658" customWidth="1"/>
    <col min="12550" max="12550" width="29.28515625" style="1658" customWidth="1"/>
    <col min="12551" max="12551" width="48.85546875" style="1658" customWidth="1"/>
    <col min="12552" max="12552" width="10.5703125" style="1658" customWidth="1"/>
    <col min="12553" max="12553" width="8.7109375" style="1658" customWidth="1"/>
    <col min="12554" max="12554" width="2" style="1658" customWidth="1"/>
    <col min="12555" max="12555" width="23.42578125" style="1658" customWidth="1"/>
    <col min="12556" max="12556" width="19.42578125" style="1658" customWidth="1"/>
    <col min="12557" max="12557" width="10.7109375" style="1658" customWidth="1"/>
    <col min="12558" max="12558" width="8.5703125" style="1658" customWidth="1"/>
    <col min="12559" max="12559" width="15.28515625" style="1658" customWidth="1"/>
    <col min="12560" max="12560" width="11.140625" style="1658" customWidth="1"/>
    <col min="12561" max="12561" width="10.140625" style="1658" customWidth="1"/>
    <col min="12562" max="12800" width="9.140625" style="1658"/>
    <col min="12801" max="12801" width="27.7109375" style="1658" customWidth="1"/>
    <col min="12802" max="12802" width="23.5703125" style="1658" customWidth="1"/>
    <col min="12803" max="12803" width="10.5703125" style="1658" customWidth="1"/>
    <col min="12804" max="12804" width="8.7109375" style="1658" customWidth="1"/>
    <col min="12805" max="12805" width="2.42578125" style="1658" customWidth="1"/>
    <col min="12806" max="12806" width="29.28515625" style="1658" customWidth="1"/>
    <col min="12807" max="12807" width="48.85546875" style="1658" customWidth="1"/>
    <col min="12808" max="12808" width="10.5703125" style="1658" customWidth="1"/>
    <col min="12809" max="12809" width="8.7109375" style="1658" customWidth="1"/>
    <col min="12810" max="12810" width="2" style="1658" customWidth="1"/>
    <col min="12811" max="12811" width="23.42578125" style="1658" customWidth="1"/>
    <col min="12812" max="12812" width="19.42578125" style="1658" customWidth="1"/>
    <col min="12813" max="12813" width="10.7109375" style="1658" customWidth="1"/>
    <col min="12814" max="12814" width="8.5703125" style="1658" customWidth="1"/>
    <col min="12815" max="12815" width="15.28515625" style="1658" customWidth="1"/>
    <col min="12816" max="12816" width="11.140625" style="1658" customWidth="1"/>
    <col min="12817" max="12817" width="10.140625" style="1658" customWidth="1"/>
    <col min="12818" max="13056" width="9.140625" style="1658"/>
    <col min="13057" max="13057" width="27.7109375" style="1658" customWidth="1"/>
    <col min="13058" max="13058" width="23.5703125" style="1658" customWidth="1"/>
    <col min="13059" max="13059" width="10.5703125" style="1658" customWidth="1"/>
    <col min="13060" max="13060" width="8.7109375" style="1658" customWidth="1"/>
    <col min="13061" max="13061" width="2.42578125" style="1658" customWidth="1"/>
    <col min="13062" max="13062" width="29.28515625" style="1658" customWidth="1"/>
    <col min="13063" max="13063" width="48.85546875" style="1658" customWidth="1"/>
    <col min="13064" max="13064" width="10.5703125" style="1658" customWidth="1"/>
    <col min="13065" max="13065" width="8.7109375" style="1658" customWidth="1"/>
    <col min="13066" max="13066" width="2" style="1658" customWidth="1"/>
    <col min="13067" max="13067" width="23.42578125" style="1658" customWidth="1"/>
    <col min="13068" max="13068" width="19.42578125" style="1658" customWidth="1"/>
    <col min="13069" max="13069" width="10.7109375" style="1658" customWidth="1"/>
    <col min="13070" max="13070" width="8.5703125" style="1658" customWidth="1"/>
    <col min="13071" max="13071" width="15.28515625" style="1658" customWidth="1"/>
    <col min="13072" max="13072" width="11.140625" style="1658" customWidth="1"/>
    <col min="13073" max="13073" width="10.140625" style="1658" customWidth="1"/>
    <col min="13074" max="13312" width="9.140625" style="1658"/>
    <col min="13313" max="13313" width="27.7109375" style="1658" customWidth="1"/>
    <col min="13314" max="13314" width="23.5703125" style="1658" customWidth="1"/>
    <col min="13315" max="13315" width="10.5703125" style="1658" customWidth="1"/>
    <col min="13316" max="13316" width="8.7109375" style="1658" customWidth="1"/>
    <col min="13317" max="13317" width="2.42578125" style="1658" customWidth="1"/>
    <col min="13318" max="13318" width="29.28515625" style="1658" customWidth="1"/>
    <col min="13319" max="13319" width="48.85546875" style="1658" customWidth="1"/>
    <col min="13320" max="13320" width="10.5703125" style="1658" customWidth="1"/>
    <col min="13321" max="13321" width="8.7109375" style="1658" customWidth="1"/>
    <col min="13322" max="13322" width="2" style="1658" customWidth="1"/>
    <col min="13323" max="13323" width="23.42578125" style="1658" customWidth="1"/>
    <col min="13324" max="13324" width="19.42578125" style="1658" customWidth="1"/>
    <col min="13325" max="13325" width="10.7109375" style="1658" customWidth="1"/>
    <col min="13326" max="13326" width="8.5703125" style="1658" customWidth="1"/>
    <col min="13327" max="13327" width="15.28515625" style="1658" customWidth="1"/>
    <col min="13328" max="13328" width="11.140625" style="1658" customWidth="1"/>
    <col min="13329" max="13329" width="10.140625" style="1658" customWidth="1"/>
    <col min="13330" max="13568" width="9.140625" style="1658"/>
    <col min="13569" max="13569" width="27.7109375" style="1658" customWidth="1"/>
    <col min="13570" max="13570" width="23.5703125" style="1658" customWidth="1"/>
    <col min="13571" max="13571" width="10.5703125" style="1658" customWidth="1"/>
    <col min="13572" max="13572" width="8.7109375" style="1658" customWidth="1"/>
    <col min="13573" max="13573" width="2.42578125" style="1658" customWidth="1"/>
    <col min="13574" max="13574" width="29.28515625" style="1658" customWidth="1"/>
    <col min="13575" max="13575" width="48.85546875" style="1658" customWidth="1"/>
    <col min="13576" max="13576" width="10.5703125" style="1658" customWidth="1"/>
    <col min="13577" max="13577" width="8.7109375" style="1658" customWidth="1"/>
    <col min="13578" max="13578" width="2" style="1658" customWidth="1"/>
    <col min="13579" max="13579" width="23.42578125" style="1658" customWidth="1"/>
    <col min="13580" max="13580" width="19.42578125" style="1658" customWidth="1"/>
    <col min="13581" max="13581" width="10.7109375" style="1658" customWidth="1"/>
    <col min="13582" max="13582" width="8.5703125" style="1658" customWidth="1"/>
    <col min="13583" max="13583" width="15.28515625" style="1658" customWidth="1"/>
    <col min="13584" max="13584" width="11.140625" style="1658" customWidth="1"/>
    <col min="13585" max="13585" width="10.140625" style="1658" customWidth="1"/>
    <col min="13586" max="13824" width="9.140625" style="1658"/>
    <col min="13825" max="13825" width="27.7109375" style="1658" customWidth="1"/>
    <col min="13826" max="13826" width="23.5703125" style="1658" customWidth="1"/>
    <col min="13827" max="13827" width="10.5703125" style="1658" customWidth="1"/>
    <col min="13828" max="13828" width="8.7109375" style="1658" customWidth="1"/>
    <col min="13829" max="13829" width="2.42578125" style="1658" customWidth="1"/>
    <col min="13830" max="13830" width="29.28515625" style="1658" customWidth="1"/>
    <col min="13831" max="13831" width="48.85546875" style="1658" customWidth="1"/>
    <col min="13832" max="13832" width="10.5703125" style="1658" customWidth="1"/>
    <col min="13833" max="13833" width="8.7109375" style="1658" customWidth="1"/>
    <col min="13834" max="13834" width="2" style="1658" customWidth="1"/>
    <col min="13835" max="13835" width="23.42578125" style="1658" customWidth="1"/>
    <col min="13836" max="13836" width="19.42578125" style="1658" customWidth="1"/>
    <col min="13837" max="13837" width="10.7109375" style="1658" customWidth="1"/>
    <col min="13838" max="13838" width="8.5703125" style="1658" customWidth="1"/>
    <col min="13839" max="13839" width="15.28515625" style="1658" customWidth="1"/>
    <col min="13840" max="13840" width="11.140625" style="1658" customWidth="1"/>
    <col min="13841" max="13841" width="10.140625" style="1658" customWidth="1"/>
    <col min="13842" max="14080" width="9.140625" style="1658"/>
    <col min="14081" max="14081" width="27.7109375" style="1658" customWidth="1"/>
    <col min="14082" max="14082" width="23.5703125" style="1658" customWidth="1"/>
    <col min="14083" max="14083" width="10.5703125" style="1658" customWidth="1"/>
    <col min="14084" max="14084" width="8.7109375" style="1658" customWidth="1"/>
    <col min="14085" max="14085" width="2.42578125" style="1658" customWidth="1"/>
    <col min="14086" max="14086" width="29.28515625" style="1658" customWidth="1"/>
    <col min="14087" max="14087" width="48.85546875" style="1658" customWidth="1"/>
    <col min="14088" max="14088" width="10.5703125" style="1658" customWidth="1"/>
    <col min="14089" max="14089" width="8.7109375" style="1658" customWidth="1"/>
    <col min="14090" max="14090" width="2" style="1658" customWidth="1"/>
    <col min="14091" max="14091" width="23.42578125" style="1658" customWidth="1"/>
    <col min="14092" max="14092" width="19.42578125" style="1658" customWidth="1"/>
    <col min="14093" max="14093" width="10.7109375" style="1658" customWidth="1"/>
    <col min="14094" max="14094" width="8.5703125" style="1658" customWidth="1"/>
    <col min="14095" max="14095" width="15.28515625" style="1658" customWidth="1"/>
    <col min="14096" max="14096" width="11.140625" style="1658" customWidth="1"/>
    <col min="14097" max="14097" width="10.140625" style="1658" customWidth="1"/>
    <col min="14098" max="14336" width="9.140625" style="1658"/>
    <col min="14337" max="14337" width="27.7109375" style="1658" customWidth="1"/>
    <col min="14338" max="14338" width="23.5703125" style="1658" customWidth="1"/>
    <col min="14339" max="14339" width="10.5703125" style="1658" customWidth="1"/>
    <col min="14340" max="14340" width="8.7109375" style="1658" customWidth="1"/>
    <col min="14341" max="14341" width="2.42578125" style="1658" customWidth="1"/>
    <col min="14342" max="14342" width="29.28515625" style="1658" customWidth="1"/>
    <col min="14343" max="14343" width="48.85546875" style="1658" customWidth="1"/>
    <col min="14344" max="14344" width="10.5703125" style="1658" customWidth="1"/>
    <col min="14345" max="14345" width="8.7109375" style="1658" customWidth="1"/>
    <col min="14346" max="14346" width="2" style="1658" customWidth="1"/>
    <col min="14347" max="14347" width="23.42578125" style="1658" customWidth="1"/>
    <col min="14348" max="14348" width="19.42578125" style="1658" customWidth="1"/>
    <col min="14349" max="14349" width="10.7109375" style="1658" customWidth="1"/>
    <col min="14350" max="14350" width="8.5703125" style="1658" customWidth="1"/>
    <col min="14351" max="14351" width="15.28515625" style="1658" customWidth="1"/>
    <col min="14352" max="14352" width="11.140625" style="1658" customWidth="1"/>
    <col min="14353" max="14353" width="10.140625" style="1658" customWidth="1"/>
    <col min="14354" max="14592" width="9.140625" style="1658"/>
    <col min="14593" max="14593" width="27.7109375" style="1658" customWidth="1"/>
    <col min="14594" max="14594" width="23.5703125" style="1658" customWidth="1"/>
    <col min="14595" max="14595" width="10.5703125" style="1658" customWidth="1"/>
    <col min="14596" max="14596" width="8.7109375" style="1658" customWidth="1"/>
    <col min="14597" max="14597" width="2.42578125" style="1658" customWidth="1"/>
    <col min="14598" max="14598" width="29.28515625" style="1658" customWidth="1"/>
    <col min="14599" max="14599" width="48.85546875" style="1658" customWidth="1"/>
    <col min="14600" max="14600" width="10.5703125" style="1658" customWidth="1"/>
    <col min="14601" max="14601" width="8.7109375" style="1658" customWidth="1"/>
    <col min="14602" max="14602" width="2" style="1658" customWidth="1"/>
    <col min="14603" max="14603" width="23.42578125" style="1658" customWidth="1"/>
    <col min="14604" max="14604" width="19.42578125" style="1658" customWidth="1"/>
    <col min="14605" max="14605" width="10.7109375" style="1658" customWidth="1"/>
    <col min="14606" max="14606" width="8.5703125" style="1658" customWidth="1"/>
    <col min="14607" max="14607" width="15.28515625" style="1658" customWidth="1"/>
    <col min="14608" max="14608" width="11.140625" style="1658" customWidth="1"/>
    <col min="14609" max="14609" width="10.140625" style="1658" customWidth="1"/>
    <col min="14610" max="14848" width="9.140625" style="1658"/>
    <col min="14849" max="14849" width="27.7109375" style="1658" customWidth="1"/>
    <col min="14850" max="14850" width="23.5703125" style="1658" customWidth="1"/>
    <col min="14851" max="14851" width="10.5703125" style="1658" customWidth="1"/>
    <col min="14852" max="14852" width="8.7109375" style="1658" customWidth="1"/>
    <col min="14853" max="14853" width="2.42578125" style="1658" customWidth="1"/>
    <col min="14854" max="14854" width="29.28515625" style="1658" customWidth="1"/>
    <col min="14855" max="14855" width="48.85546875" style="1658" customWidth="1"/>
    <col min="14856" max="14856" width="10.5703125" style="1658" customWidth="1"/>
    <col min="14857" max="14857" width="8.7109375" style="1658" customWidth="1"/>
    <col min="14858" max="14858" width="2" style="1658" customWidth="1"/>
    <col min="14859" max="14859" width="23.42578125" style="1658" customWidth="1"/>
    <col min="14860" max="14860" width="19.42578125" style="1658" customWidth="1"/>
    <col min="14861" max="14861" width="10.7109375" style="1658" customWidth="1"/>
    <col min="14862" max="14862" width="8.5703125" style="1658" customWidth="1"/>
    <col min="14863" max="14863" width="15.28515625" style="1658" customWidth="1"/>
    <col min="14864" max="14864" width="11.140625" style="1658" customWidth="1"/>
    <col min="14865" max="14865" width="10.140625" style="1658" customWidth="1"/>
    <col min="14866" max="15104" width="9.140625" style="1658"/>
    <col min="15105" max="15105" width="27.7109375" style="1658" customWidth="1"/>
    <col min="15106" max="15106" width="23.5703125" style="1658" customWidth="1"/>
    <col min="15107" max="15107" width="10.5703125" style="1658" customWidth="1"/>
    <col min="15108" max="15108" width="8.7109375" style="1658" customWidth="1"/>
    <col min="15109" max="15109" width="2.42578125" style="1658" customWidth="1"/>
    <col min="15110" max="15110" width="29.28515625" style="1658" customWidth="1"/>
    <col min="15111" max="15111" width="48.85546875" style="1658" customWidth="1"/>
    <col min="15112" max="15112" width="10.5703125" style="1658" customWidth="1"/>
    <col min="15113" max="15113" width="8.7109375" style="1658" customWidth="1"/>
    <col min="15114" max="15114" width="2" style="1658" customWidth="1"/>
    <col min="15115" max="15115" width="23.42578125" style="1658" customWidth="1"/>
    <col min="15116" max="15116" width="19.42578125" style="1658" customWidth="1"/>
    <col min="15117" max="15117" width="10.7109375" style="1658" customWidth="1"/>
    <col min="15118" max="15118" width="8.5703125" style="1658" customWidth="1"/>
    <col min="15119" max="15119" width="15.28515625" style="1658" customWidth="1"/>
    <col min="15120" max="15120" width="11.140625" style="1658" customWidth="1"/>
    <col min="15121" max="15121" width="10.140625" style="1658" customWidth="1"/>
    <col min="15122" max="15360" width="9.140625" style="1658"/>
    <col min="15361" max="15361" width="27.7109375" style="1658" customWidth="1"/>
    <col min="15362" max="15362" width="23.5703125" style="1658" customWidth="1"/>
    <col min="15363" max="15363" width="10.5703125" style="1658" customWidth="1"/>
    <col min="15364" max="15364" width="8.7109375" style="1658" customWidth="1"/>
    <col min="15365" max="15365" width="2.42578125" style="1658" customWidth="1"/>
    <col min="15366" max="15366" width="29.28515625" style="1658" customWidth="1"/>
    <col min="15367" max="15367" width="48.85546875" style="1658" customWidth="1"/>
    <col min="15368" max="15368" width="10.5703125" style="1658" customWidth="1"/>
    <col min="15369" max="15369" width="8.7109375" style="1658" customWidth="1"/>
    <col min="15370" max="15370" width="2" style="1658" customWidth="1"/>
    <col min="15371" max="15371" width="23.42578125" style="1658" customWidth="1"/>
    <col min="15372" max="15372" width="19.42578125" style="1658" customWidth="1"/>
    <col min="15373" max="15373" width="10.7109375" style="1658" customWidth="1"/>
    <col min="15374" max="15374" width="8.5703125" style="1658" customWidth="1"/>
    <col min="15375" max="15375" width="15.28515625" style="1658" customWidth="1"/>
    <col min="15376" max="15376" width="11.140625" style="1658" customWidth="1"/>
    <col min="15377" max="15377" width="10.140625" style="1658" customWidth="1"/>
    <col min="15378" max="15616" width="9.140625" style="1658"/>
    <col min="15617" max="15617" width="27.7109375" style="1658" customWidth="1"/>
    <col min="15618" max="15618" width="23.5703125" style="1658" customWidth="1"/>
    <col min="15619" max="15619" width="10.5703125" style="1658" customWidth="1"/>
    <col min="15620" max="15620" width="8.7109375" style="1658" customWidth="1"/>
    <col min="15621" max="15621" width="2.42578125" style="1658" customWidth="1"/>
    <col min="15622" max="15622" width="29.28515625" style="1658" customWidth="1"/>
    <col min="15623" max="15623" width="48.85546875" style="1658" customWidth="1"/>
    <col min="15624" max="15624" width="10.5703125" style="1658" customWidth="1"/>
    <col min="15625" max="15625" width="8.7109375" style="1658" customWidth="1"/>
    <col min="15626" max="15626" width="2" style="1658" customWidth="1"/>
    <col min="15627" max="15627" width="23.42578125" style="1658" customWidth="1"/>
    <col min="15628" max="15628" width="19.42578125" style="1658" customWidth="1"/>
    <col min="15629" max="15629" width="10.7109375" style="1658" customWidth="1"/>
    <col min="15630" max="15630" width="8.5703125" style="1658" customWidth="1"/>
    <col min="15631" max="15631" width="15.28515625" style="1658" customWidth="1"/>
    <col min="15632" max="15632" width="11.140625" style="1658" customWidth="1"/>
    <col min="15633" max="15633" width="10.140625" style="1658" customWidth="1"/>
    <col min="15634" max="15872" width="9.140625" style="1658"/>
    <col min="15873" max="15873" width="27.7109375" style="1658" customWidth="1"/>
    <col min="15874" max="15874" width="23.5703125" style="1658" customWidth="1"/>
    <col min="15875" max="15875" width="10.5703125" style="1658" customWidth="1"/>
    <col min="15876" max="15876" width="8.7109375" style="1658" customWidth="1"/>
    <col min="15877" max="15877" width="2.42578125" style="1658" customWidth="1"/>
    <col min="15878" max="15878" width="29.28515625" style="1658" customWidth="1"/>
    <col min="15879" max="15879" width="48.85546875" style="1658" customWidth="1"/>
    <col min="15880" max="15880" width="10.5703125" style="1658" customWidth="1"/>
    <col min="15881" max="15881" width="8.7109375" style="1658" customWidth="1"/>
    <col min="15882" max="15882" width="2" style="1658" customWidth="1"/>
    <col min="15883" max="15883" width="23.42578125" style="1658" customWidth="1"/>
    <col min="15884" max="15884" width="19.42578125" style="1658" customWidth="1"/>
    <col min="15885" max="15885" width="10.7109375" style="1658" customWidth="1"/>
    <col min="15886" max="15886" width="8.5703125" style="1658" customWidth="1"/>
    <col min="15887" max="15887" width="15.28515625" style="1658" customWidth="1"/>
    <col min="15888" max="15888" width="11.140625" style="1658" customWidth="1"/>
    <col min="15889" max="15889" width="10.140625" style="1658" customWidth="1"/>
    <col min="15890" max="16128" width="9.140625" style="1658"/>
    <col min="16129" max="16129" width="27.7109375" style="1658" customWidth="1"/>
    <col min="16130" max="16130" width="23.5703125" style="1658" customWidth="1"/>
    <col min="16131" max="16131" width="10.5703125" style="1658" customWidth="1"/>
    <col min="16132" max="16132" width="8.7109375" style="1658" customWidth="1"/>
    <col min="16133" max="16133" width="2.42578125" style="1658" customWidth="1"/>
    <col min="16134" max="16134" width="29.28515625" style="1658" customWidth="1"/>
    <col min="16135" max="16135" width="48.85546875" style="1658" customWidth="1"/>
    <col min="16136" max="16136" width="10.5703125" style="1658" customWidth="1"/>
    <col min="16137" max="16137" width="8.7109375" style="1658" customWidth="1"/>
    <col min="16138" max="16138" width="2" style="1658" customWidth="1"/>
    <col min="16139" max="16139" width="23.42578125" style="1658" customWidth="1"/>
    <col min="16140" max="16140" width="19.42578125" style="1658" customWidth="1"/>
    <col min="16141" max="16141" width="10.7109375" style="1658" customWidth="1"/>
    <col min="16142" max="16142" width="8.5703125" style="1658" customWidth="1"/>
    <col min="16143" max="16143" width="15.28515625" style="1658" customWidth="1"/>
    <col min="16144" max="16144" width="11.140625" style="1658" customWidth="1"/>
    <col min="16145" max="16145" width="10.140625" style="1658" customWidth="1"/>
    <col min="16146" max="16384" width="9.140625" style="1658"/>
  </cols>
  <sheetData>
    <row r="1" spans="1:14" ht="21.75" customHeight="1" x14ac:dyDescent="0.25">
      <c r="A1" s="1790"/>
      <c r="B1" s="1790"/>
      <c r="C1" s="1791"/>
      <c r="F1" s="1790"/>
      <c r="G1" s="1790"/>
      <c r="H1" s="1791"/>
      <c r="K1" s="1792"/>
      <c r="L1" s="1793"/>
      <c r="M1" s="1789"/>
    </row>
    <row r="2" spans="1:14" ht="15" x14ac:dyDescent="0.25">
      <c r="A2" s="1794"/>
      <c r="B2" s="1795"/>
      <c r="F2" s="1794"/>
      <c r="G2" s="1796"/>
      <c r="K2" s="1792"/>
      <c r="L2" s="1797"/>
      <c r="M2" s="1789"/>
    </row>
    <row r="3" spans="1:14" ht="14.25" x14ac:dyDescent="0.2">
      <c r="A3" s="1794"/>
      <c r="B3" s="1794"/>
      <c r="F3" s="1794"/>
      <c r="G3" s="1794"/>
      <c r="K3" s="1789"/>
      <c r="L3" s="1789"/>
      <c r="M3" s="1789"/>
    </row>
    <row r="4" spans="1:14" ht="18.75" customHeight="1" thickBot="1" x14ac:dyDescent="0.25">
      <c r="A4" s="3093" t="s">
        <v>1628</v>
      </c>
      <c r="B4" s="3093"/>
      <c r="C4" s="3093"/>
      <c r="D4" s="3093"/>
      <c r="E4" s="3093"/>
      <c r="F4" s="3093"/>
      <c r="G4" s="3093"/>
      <c r="H4" s="3093"/>
      <c r="I4" s="3093"/>
      <c r="J4" s="3093"/>
      <c r="K4" s="3093"/>
      <c r="L4" s="3093"/>
      <c r="M4" s="3093"/>
      <c r="N4" s="3093"/>
    </row>
    <row r="5" spans="1:14" ht="15" customHeight="1" x14ac:dyDescent="0.25">
      <c r="A5" s="1798"/>
      <c r="B5" s="1798"/>
      <c r="F5" s="1798"/>
      <c r="G5" s="1798"/>
      <c r="H5" s="1796"/>
      <c r="I5" s="1936"/>
      <c r="L5" s="1815" t="s">
        <v>1</v>
      </c>
      <c r="M5" s="1937">
        <v>42513</v>
      </c>
    </row>
    <row r="6" spans="1:14" s="1938" customFormat="1" ht="28.5" customHeight="1" x14ac:dyDescent="0.2">
      <c r="A6" s="1939" t="s">
        <v>1146</v>
      </c>
      <c r="B6" s="2135" t="s">
        <v>3185</v>
      </c>
      <c r="C6" s="3056" t="s">
        <v>2918</v>
      </c>
      <c r="D6" s="3056"/>
      <c r="E6" s="3056"/>
      <c r="F6" s="3056"/>
      <c r="G6" s="3101" t="s">
        <v>285</v>
      </c>
      <c r="H6" s="3116" t="s">
        <v>2919</v>
      </c>
      <c r="I6" s="3116"/>
      <c r="J6" s="3117"/>
      <c r="K6" s="3056" t="s">
        <v>2920</v>
      </c>
      <c r="L6" s="3056"/>
      <c r="M6" s="3056"/>
      <c r="N6" s="3056"/>
    </row>
    <row r="7" spans="1:14" s="1938" customFormat="1" ht="15" x14ac:dyDescent="0.2">
      <c r="A7" s="3103" t="s">
        <v>2921</v>
      </c>
      <c r="B7" s="3079"/>
      <c r="C7" s="3104" t="s">
        <v>364</v>
      </c>
      <c r="D7" s="3104"/>
      <c r="E7" s="3104"/>
      <c r="F7" s="1942" t="s">
        <v>2922</v>
      </c>
      <c r="G7" s="3102"/>
      <c r="H7" s="3118"/>
      <c r="I7" s="3118"/>
      <c r="J7" s="3119"/>
      <c r="K7" s="3056"/>
      <c r="L7" s="3056"/>
      <c r="M7" s="3056"/>
      <c r="N7" s="3056"/>
    </row>
    <row r="8" spans="1:14" s="1938" customFormat="1" ht="15" x14ac:dyDescent="0.2">
      <c r="A8" s="3078" t="s">
        <v>3207</v>
      </c>
      <c r="B8" s="3079"/>
      <c r="C8" s="3069">
        <v>500</v>
      </c>
      <c r="D8" s="3069"/>
      <c r="E8" s="3069"/>
      <c r="F8" s="3069">
        <v>500</v>
      </c>
      <c r="G8" s="3105"/>
      <c r="H8" s="3108">
        <v>2500</v>
      </c>
      <c r="I8" s="3109"/>
      <c r="J8" s="3110"/>
      <c r="K8" s="3059">
        <f>(C8+F8)*H8/1000</f>
        <v>2500</v>
      </c>
      <c r="L8" s="3059"/>
      <c r="M8" s="3059"/>
      <c r="N8" s="3060"/>
    </row>
    <row r="9" spans="1:14" s="1938" customFormat="1" ht="37.5" customHeight="1" x14ac:dyDescent="0.2">
      <c r="A9" s="1940" t="s">
        <v>3180</v>
      </c>
      <c r="B9" s="3098" t="s">
        <v>3228</v>
      </c>
      <c r="C9" s="3069"/>
      <c r="D9" s="3069"/>
      <c r="E9" s="3069"/>
      <c r="F9" s="3069"/>
      <c r="G9" s="3106"/>
      <c r="H9" s="3111"/>
      <c r="I9" s="3112"/>
      <c r="J9" s="3113"/>
      <c r="K9" s="3061"/>
      <c r="L9" s="3061"/>
      <c r="M9" s="3061"/>
      <c r="N9" s="3062"/>
    </row>
    <row r="10" spans="1:14" s="1938" customFormat="1" ht="37.5" customHeight="1" x14ac:dyDescent="0.2">
      <c r="A10" s="1940" t="s">
        <v>3181</v>
      </c>
      <c r="B10" s="3100"/>
      <c r="C10" s="3069"/>
      <c r="D10" s="3069"/>
      <c r="E10" s="3069"/>
      <c r="F10" s="3069"/>
      <c r="G10" s="3107"/>
      <c r="H10" s="3081">
        <v>2900</v>
      </c>
      <c r="I10" s="3081"/>
      <c r="J10" s="3082"/>
      <c r="K10" s="3057">
        <f>(C8+F8)*H10/1000</f>
        <v>2900</v>
      </c>
      <c r="L10" s="3057"/>
      <c r="M10" s="3057"/>
      <c r="N10" s="3057"/>
    </row>
    <row r="11" spans="1:14" s="1938" customFormat="1" ht="15" x14ac:dyDescent="0.2">
      <c r="A11" s="3078" t="s">
        <v>3184</v>
      </c>
      <c r="B11" s="3079"/>
      <c r="C11" s="3069"/>
      <c r="D11" s="3069"/>
      <c r="E11" s="3069"/>
      <c r="F11" s="3069"/>
      <c r="G11" s="3115"/>
      <c r="H11" s="3114">
        <v>3900</v>
      </c>
      <c r="I11" s="3114"/>
      <c r="J11" s="3114"/>
      <c r="K11" s="3058">
        <f>(C8+F8)*H11/1000</f>
        <v>3900</v>
      </c>
      <c r="L11" s="3058"/>
      <c r="M11" s="3058"/>
      <c r="N11" s="3058"/>
    </row>
    <row r="12" spans="1:14" s="1938" customFormat="1" ht="15" customHeight="1" x14ac:dyDescent="0.2">
      <c r="A12" s="1940" t="s">
        <v>2923</v>
      </c>
      <c r="B12" s="3098" t="s">
        <v>3227</v>
      </c>
      <c r="C12" s="3069"/>
      <c r="D12" s="3069"/>
      <c r="E12" s="3069"/>
      <c r="F12" s="3069"/>
      <c r="G12" s="3115"/>
      <c r="H12" s="3114"/>
      <c r="I12" s="3114"/>
      <c r="J12" s="3114"/>
      <c r="K12" s="3058"/>
      <c r="L12" s="3058"/>
      <c r="M12" s="3058"/>
      <c r="N12" s="3058"/>
    </row>
    <row r="13" spans="1:14" s="1938" customFormat="1" ht="15.75" customHeight="1" x14ac:dyDescent="0.2">
      <c r="A13" s="1940" t="s">
        <v>2924</v>
      </c>
      <c r="B13" s="3099"/>
      <c r="C13" s="3069"/>
      <c r="D13" s="3069"/>
      <c r="E13" s="3069"/>
      <c r="F13" s="3069"/>
      <c r="G13" s="3115"/>
      <c r="H13" s="3080">
        <v>4800</v>
      </c>
      <c r="I13" s="3081"/>
      <c r="J13" s="3082"/>
      <c r="K13" s="3057">
        <f>(C8+F8)*H13/1000</f>
        <v>4800</v>
      </c>
      <c r="L13" s="3057"/>
      <c r="M13" s="3057"/>
      <c r="N13" s="3057"/>
    </row>
    <row r="14" spans="1:14" s="1938" customFormat="1" ht="15.75" customHeight="1" x14ac:dyDescent="0.2">
      <c r="A14" s="1940" t="s">
        <v>2925</v>
      </c>
      <c r="B14" s="3099"/>
      <c r="C14" s="3069"/>
      <c r="D14" s="3069"/>
      <c r="E14" s="3069"/>
      <c r="F14" s="3069"/>
      <c r="G14" s="3115"/>
      <c r="H14" s="3080">
        <v>5050</v>
      </c>
      <c r="I14" s="3081"/>
      <c r="J14" s="3082"/>
      <c r="K14" s="3057">
        <f>(C8+F8)*H14/1000</f>
        <v>5050</v>
      </c>
      <c r="L14" s="3057"/>
      <c r="M14" s="3057"/>
      <c r="N14" s="3057"/>
    </row>
    <row r="15" spans="1:14" s="1938" customFormat="1" ht="15.75" customHeight="1" x14ac:dyDescent="0.2">
      <c r="A15" s="1940" t="s">
        <v>2850</v>
      </c>
      <c r="B15" s="3099"/>
      <c r="C15" s="3069"/>
      <c r="D15" s="3069"/>
      <c r="E15" s="3069"/>
      <c r="F15" s="3069"/>
      <c r="G15" s="3115"/>
      <c r="H15" s="3080">
        <v>5200</v>
      </c>
      <c r="I15" s="3081"/>
      <c r="J15" s="3082"/>
      <c r="K15" s="3058">
        <f>(C8+F8)*H15/1000</f>
        <v>5200</v>
      </c>
      <c r="L15" s="3058"/>
      <c r="M15" s="3058"/>
      <c r="N15" s="3058"/>
    </row>
    <row r="16" spans="1:14" s="1938" customFormat="1" ht="15.75" customHeight="1" x14ac:dyDescent="0.2">
      <c r="A16" s="1940" t="s">
        <v>3415</v>
      </c>
      <c r="B16" s="3099"/>
      <c r="C16" s="3069"/>
      <c r="D16" s="3069"/>
      <c r="E16" s="3069"/>
      <c r="F16" s="3069"/>
      <c r="G16" s="3115"/>
      <c r="H16" s="3080">
        <v>6150</v>
      </c>
      <c r="I16" s="3081"/>
      <c r="J16" s="3082"/>
      <c r="K16" s="3063">
        <f>(C8+F8)*H16/1000</f>
        <v>6150</v>
      </c>
      <c r="L16" s="3064"/>
      <c r="M16" s="3064"/>
      <c r="N16" s="3065"/>
    </row>
    <row r="17" spans="1:14" s="1938" customFormat="1" ht="15.75" customHeight="1" x14ac:dyDescent="0.2">
      <c r="A17" s="1940" t="s">
        <v>1769</v>
      </c>
      <c r="B17" s="3099"/>
      <c r="C17" s="3069"/>
      <c r="D17" s="3069"/>
      <c r="E17" s="3069"/>
      <c r="F17" s="3069"/>
      <c r="G17" s="3115"/>
      <c r="H17" s="3080">
        <v>5700</v>
      </c>
      <c r="I17" s="3081"/>
      <c r="J17" s="3082"/>
      <c r="K17" s="3058">
        <f>(C8+F8)*H17/1000</f>
        <v>5700</v>
      </c>
      <c r="L17" s="3058"/>
      <c r="M17" s="3058"/>
      <c r="N17" s="3058"/>
    </row>
    <row r="18" spans="1:14" s="1938" customFormat="1" ht="15.75" customHeight="1" x14ac:dyDescent="0.2">
      <c r="A18" s="1940" t="s">
        <v>2926</v>
      </c>
      <c r="B18" s="3099"/>
      <c r="C18" s="3069"/>
      <c r="D18" s="3069"/>
      <c r="E18" s="3069"/>
      <c r="F18" s="3069"/>
      <c r="G18" s="3115"/>
      <c r="H18" s="3080">
        <v>5900</v>
      </c>
      <c r="I18" s="3081"/>
      <c r="J18" s="3082"/>
      <c r="K18" s="3058">
        <f>(C8+F8)*H18/1000</f>
        <v>5900</v>
      </c>
      <c r="L18" s="3058"/>
      <c r="M18" s="3058"/>
      <c r="N18" s="3058"/>
    </row>
    <row r="19" spans="1:14" s="1938" customFormat="1" ht="15.75" customHeight="1" x14ac:dyDescent="0.2">
      <c r="A19" s="1940" t="s">
        <v>165</v>
      </c>
      <c r="B19" s="3099"/>
      <c r="C19" s="3069"/>
      <c r="D19" s="3069"/>
      <c r="E19" s="3069"/>
      <c r="F19" s="3069"/>
      <c r="G19" s="3115"/>
      <c r="H19" s="3080">
        <v>5900</v>
      </c>
      <c r="I19" s="3081"/>
      <c r="J19" s="3082"/>
      <c r="K19" s="3058">
        <f>(C8+F8)*H19/1000</f>
        <v>5900</v>
      </c>
      <c r="L19" s="3058"/>
      <c r="M19" s="3058"/>
      <c r="N19" s="3058"/>
    </row>
    <row r="20" spans="1:14" s="1938" customFormat="1" ht="15.75" customHeight="1" x14ac:dyDescent="0.2">
      <c r="A20" s="1940" t="s">
        <v>2927</v>
      </c>
      <c r="B20" s="3099"/>
      <c r="C20" s="3069"/>
      <c r="D20" s="3069"/>
      <c r="E20" s="3069"/>
      <c r="F20" s="3069"/>
      <c r="G20" s="3115"/>
      <c r="H20" s="3080">
        <v>6150</v>
      </c>
      <c r="I20" s="3081"/>
      <c r="J20" s="3082"/>
      <c r="K20" s="3058">
        <f>(C8+F8)*H20/1000</f>
        <v>6150</v>
      </c>
      <c r="L20" s="3058"/>
      <c r="M20" s="3058"/>
      <c r="N20" s="3058"/>
    </row>
    <row r="21" spans="1:14" s="1938" customFormat="1" ht="15.75" customHeight="1" x14ac:dyDescent="0.2">
      <c r="A21" s="1940" t="s">
        <v>1829</v>
      </c>
      <c r="B21" s="3099"/>
      <c r="C21" s="3069"/>
      <c r="D21" s="3069"/>
      <c r="E21" s="3069"/>
      <c r="F21" s="3069"/>
      <c r="G21" s="3115"/>
      <c r="H21" s="3080">
        <v>6150</v>
      </c>
      <c r="I21" s="3081"/>
      <c r="J21" s="3082"/>
      <c r="K21" s="3058">
        <f>(C8+F8)*H21/1000</f>
        <v>6150</v>
      </c>
      <c r="L21" s="3058"/>
      <c r="M21" s="3058"/>
      <c r="N21" s="3058"/>
    </row>
    <row r="22" spans="1:14" s="1938" customFormat="1" ht="17.25" customHeight="1" x14ac:dyDescent="0.2">
      <c r="A22" s="1941" t="s">
        <v>1906</v>
      </c>
      <c r="B22" s="3099"/>
      <c r="C22" s="3069"/>
      <c r="D22" s="3069"/>
      <c r="E22" s="3069"/>
      <c r="F22" s="3069"/>
      <c r="G22" s="3115"/>
      <c r="H22" s="3080">
        <v>6250</v>
      </c>
      <c r="I22" s="3081"/>
      <c r="J22" s="3082"/>
      <c r="K22" s="3058">
        <f>(C8+F8)*H22/1000</f>
        <v>6250</v>
      </c>
      <c r="L22" s="3058"/>
      <c r="M22" s="3058"/>
      <c r="N22" s="3058"/>
    </row>
    <row r="23" spans="1:14" ht="18" customHeight="1" x14ac:dyDescent="0.2">
      <c r="A23" s="1941" t="s">
        <v>2104</v>
      </c>
      <c r="B23" s="3100"/>
      <c r="C23" s="3069"/>
      <c r="D23" s="3069"/>
      <c r="E23" s="3069"/>
      <c r="F23" s="3069"/>
      <c r="G23" s="3115"/>
      <c r="H23" s="3080">
        <v>6500</v>
      </c>
      <c r="I23" s="3081"/>
      <c r="J23" s="3082"/>
      <c r="K23" s="3058">
        <f>(C8+F8)*H23/1000</f>
        <v>6500</v>
      </c>
      <c r="L23" s="3058"/>
      <c r="M23" s="3058"/>
      <c r="N23" s="3058"/>
    </row>
    <row r="24" spans="1:14" ht="15" x14ac:dyDescent="0.2">
      <c r="A24" s="1796" t="s">
        <v>2928</v>
      </c>
      <c r="B24" s="1796"/>
      <c r="C24" s="1796"/>
      <c r="D24" s="1796"/>
      <c r="E24" s="1796"/>
      <c r="F24" s="1796"/>
      <c r="G24" s="1943"/>
      <c r="H24" s="1943"/>
      <c r="I24" s="1943"/>
      <c r="J24" s="1943"/>
      <c r="K24" s="1944"/>
      <c r="L24" s="1944"/>
      <c r="M24" s="1944"/>
      <c r="N24" s="1944"/>
    </row>
    <row r="25" spans="1:14" ht="15" x14ac:dyDescent="0.2">
      <c r="A25" s="1945" t="s">
        <v>2929</v>
      </c>
      <c r="B25" s="1945"/>
      <c r="C25" s="1945"/>
      <c r="D25" s="1945"/>
      <c r="E25" s="1945"/>
      <c r="F25" s="1945"/>
      <c r="G25" s="1943"/>
      <c r="H25" s="1943"/>
      <c r="I25" s="1943"/>
      <c r="J25" s="1943"/>
      <c r="K25" s="1944"/>
      <c r="L25" s="1944"/>
      <c r="M25" s="1944"/>
      <c r="N25" s="1944"/>
    </row>
    <row r="26" spans="1:14" ht="15" x14ac:dyDescent="0.2">
      <c r="A26" s="1945" t="s">
        <v>3182</v>
      </c>
      <c r="B26" s="1945"/>
      <c r="C26" s="1945"/>
      <c r="D26" s="1945"/>
      <c r="E26" s="1945"/>
      <c r="F26" s="1945"/>
      <c r="G26" s="1943"/>
      <c r="H26" s="1943"/>
      <c r="I26" s="1943"/>
      <c r="J26" s="1943"/>
      <c r="K26" s="1944"/>
      <c r="L26" s="1944"/>
      <c r="M26" s="1944"/>
      <c r="N26" s="1944"/>
    </row>
    <row r="27" spans="1:14" ht="15" x14ac:dyDescent="0.2">
      <c r="A27" s="2134" t="s">
        <v>3183</v>
      </c>
      <c r="B27" s="1945"/>
      <c r="C27" s="1945"/>
      <c r="D27" s="1945"/>
      <c r="E27" s="1945"/>
      <c r="F27" s="1945"/>
      <c r="G27" s="1943"/>
      <c r="H27" s="1943"/>
      <c r="I27" s="1943"/>
      <c r="J27" s="1943"/>
      <c r="K27" s="1944"/>
      <c r="L27" s="1944"/>
      <c r="M27" s="1944"/>
      <c r="N27" s="1944"/>
    </row>
    <row r="28" spans="1:14" s="1794" customFormat="1" ht="17.25" customHeight="1" x14ac:dyDescent="0.25">
      <c r="A28" s="3074" t="s">
        <v>284</v>
      </c>
      <c r="B28" s="3074"/>
      <c r="C28" s="3074"/>
      <c r="D28" s="3074"/>
      <c r="E28" s="3074"/>
      <c r="F28" s="3074"/>
      <c r="G28" s="3074"/>
      <c r="H28" s="3074"/>
      <c r="I28" s="3074"/>
      <c r="J28" s="3074"/>
      <c r="K28" s="3074"/>
      <c r="L28" s="3074"/>
      <c r="M28" s="3074"/>
      <c r="N28" s="3074"/>
    </row>
    <row r="29" spans="1:14" s="1794" customFormat="1" ht="14.25" x14ac:dyDescent="0.2">
      <c r="C29" s="1658"/>
      <c r="D29" s="1658"/>
      <c r="H29" s="1658"/>
      <c r="I29" s="1658"/>
      <c r="L29" s="1814" t="s">
        <v>1</v>
      </c>
      <c r="M29" s="3075">
        <v>42430</v>
      </c>
      <c r="N29" s="3075"/>
    </row>
    <row r="30" spans="1:14" s="1794" customFormat="1" ht="30.75" customHeight="1" x14ac:dyDescent="0.2">
      <c r="A30" s="1799" t="s">
        <v>285</v>
      </c>
      <c r="B30" s="1799" t="s">
        <v>286</v>
      </c>
      <c r="C30" s="1800" t="s">
        <v>2605</v>
      </c>
      <c r="D30" s="1800" t="s">
        <v>287</v>
      </c>
      <c r="E30" s="1658"/>
      <c r="F30" s="1799" t="s">
        <v>285</v>
      </c>
      <c r="G30" s="1799" t="s">
        <v>286</v>
      </c>
      <c r="H30" s="1800" t="s">
        <v>2606</v>
      </c>
      <c r="I30" s="1800" t="s">
        <v>287</v>
      </c>
      <c r="J30" s="1658"/>
      <c r="K30" s="1799" t="s">
        <v>285</v>
      </c>
      <c r="L30" s="1799" t="s">
        <v>286</v>
      </c>
      <c r="M30" s="1800" t="s">
        <v>2606</v>
      </c>
      <c r="N30" s="1800" t="s">
        <v>287</v>
      </c>
    </row>
    <row r="31" spans="1:14" s="1794" customFormat="1" ht="12.75" x14ac:dyDescent="0.2">
      <c r="A31" s="3076" t="s">
        <v>2607</v>
      </c>
      <c r="B31" s="3076"/>
      <c r="C31" s="3076"/>
      <c r="D31" s="3076"/>
      <c r="E31" s="1658"/>
      <c r="F31" s="3076" t="s">
        <v>2608</v>
      </c>
      <c r="G31" s="3076"/>
      <c r="H31" s="3076"/>
      <c r="I31" s="3076"/>
      <c r="J31" s="1658"/>
      <c r="K31" s="3076" t="s">
        <v>2609</v>
      </c>
      <c r="L31" s="3076"/>
      <c r="M31" s="3076"/>
      <c r="N31" s="3076"/>
    </row>
    <row r="32" spans="1:14" s="1794" customFormat="1" ht="34.5" customHeight="1" x14ac:dyDescent="0.2">
      <c r="A32" s="3070"/>
      <c r="B32" s="3071" t="s">
        <v>2610</v>
      </c>
      <c r="C32" s="3071" t="s">
        <v>2611</v>
      </c>
      <c r="D32" s="3072">
        <v>7007</v>
      </c>
      <c r="E32" s="1658"/>
      <c r="F32" s="3070"/>
      <c r="G32" s="1801" t="s">
        <v>2612</v>
      </c>
      <c r="H32" s="3073" t="s">
        <v>2613</v>
      </c>
      <c r="I32" s="1929">
        <v>5150</v>
      </c>
      <c r="J32" s="1658"/>
      <c r="K32" s="3070"/>
      <c r="L32" s="3077" t="s">
        <v>2614</v>
      </c>
      <c r="M32" s="3071" t="s">
        <v>2615</v>
      </c>
      <c r="N32" s="3072">
        <v>775</v>
      </c>
    </row>
    <row r="33" spans="1:14" s="1794" customFormat="1" ht="34.5" customHeight="1" x14ac:dyDescent="0.2">
      <c r="A33" s="3070"/>
      <c r="B33" s="3071"/>
      <c r="C33" s="3071"/>
      <c r="D33" s="3072"/>
      <c r="E33" s="1658"/>
      <c r="F33" s="3070"/>
      <c r="G33" s="1801" t="s">
        <v>2616</v>
      </c>
      <c r="H33" s="3073"/>
      <c r="I33" s="1929">
        <v>6150</v>
      </c>
      <c r="J33" s="1658"/>
      <c r="K33" s="3070"/>
      <c r="L33" s="3077"/>
      <c r="M33" s="3071"/>
      <c r="N33" s="3072"/>
    </row>
    <row r="34" spans="1:14" s="1794" customFormat="1" ht="14.25" customHeight="1" x14ac:dyDescent="0.2">
      <c r="A34" s="3076" t="s">
        <v>2617</v>
      </c>
      <c r="B34" s="3076"/>
      <c r="C34" s="3076"/>
      <c r="D34" s="3076"/>
      <c r="E34" s="1658"/>
      <c r="F34" s="3070"/>
      <c r="G34" s="3071" t="s">
        <v>2618</v>
      </c>
      <c r="H34" s="3073"/>
      <c r="I34" s="3083">
        <v>7990</v>
      </c>
      <c r="J34" s="1658"/>
      <c r="K34" s="3087"/>
      <c r="L34" s="3090" t="s">
        <v>2619</v>
      </c>
      <c r="M34" s="3066" t="s">
        <v>2620</v>
      </c>
      <c r="N34" s="3084">
        <v>260</v>
      </c>
    </row>
    <row r="35" spans="1:14" s="1794" customFormat="1" ht="21" customHeight="1" x14ac:dyDescent="0.2">
      <c r="A35" s="3070"/>
      <c r="B35" s="3071" t="s">
        <v>2621</v>
      </c>
      <c r="C35" s="3071" t="s">
        <v>2622</v>
      </c>
      <c r="D35" s="3084">
        <v>3535</v>
      </c>
      <c r="E35" s="1658"/>
      <c r="F35" s="3070"/>
      <c r="G35" s="3071"/>
      <c r="H35" s="3073"/>
      <c r="I35" s="3083"/>
      <c r="J35" s="1658"/>
      <c r="K35" s="3088"/>
      <c r="L35" s="3091"/>
      <c r="M35" s="3067"/>
      <c r="N35" s="3085"/>
    </row>
    <row r="36" spans="1:14" s="1794" customFormat="1" ht="31.5" customHeight="1" x14ac:dyDescent="0.2">
      <c r="A36" s="3070"/>
      <c r="B36" s="3071"/>
      <c r="C36" s="3071"/>
      <c r="D36" s="3086"/>
      <c r="E36" s="1658"/>
      <c r="F36" s="3070"/>
      <c r="G36" s="1934" t="s">
        <v>2623</v>
      </c>
      <c r="H36" s="3073"/>
      <c r="I36" s="1946">
        <v>8990</v>
      </c>
      <c r="J36" s="1658"/>
      <c r="K36" s="3089"/>
      <c r="L36" s="3092"/>
      <c r="M36" s="3068"/>
      <c r="N36" s="3086"/>
    </row>
    <row r="37" spans="1:14" s="1794" customFormat="1" ht="12.75" customHeight="1" x14ac:dyDescent="0.2">
      <c r="A37" s="3070"/>
      <c r="B37" s="3071" t="s">
        <v>288</v>
      </c>
      <c r="C37" s="3071" t="s">
        <v>2624</v>
      </c>
      <c r="D37" s="3084">
        <v>2775</v>
      </c>
      <c r="E37" s="1658"/>
      <c r="F37" s="3076" t="s">
        <v>2625</v>
      </c>
      <c r="G37" s="3076"/>
      <c r="H37" s="3076"/>
      <c r="I37" s="3076"/>
      <c r="J37" s="1658"/>
      <c r="K37" s="3070"/>
      <c r="L37" s="3077" t="s">
        <v>2626</v>
      </c>
      <c r="M37" s="3071" t="s">
        <v>2627</v>
      </c>
      <c r="N37" s="3072">
        <v>175</v>
      </c>
    </row>
    <row r="38" spans="1:14" s="1794" customFormat="1" ht="25.5" customHeight="1" x14ac:dyDescent="0.2">
      <c r="A38" s="3070"/>
      <c r="B38" s="3071"/>
      <c r="C38" s="3071"/>
      <c r="D38" s="3085"/>
      <c r="E38" s="1658"/>
      <c r="F38" s="3070"/>
      <c r="G38" s="3071" t="s">
        <v>2628</v>
      </c>
      <c r="H38" s="3073" t="s">
        <v>2613</v>
      </c>
      <c r="I38" s="3058">
        <v>6500</v>
      </c>
      <c r="J38" s="1658"/>
      <c r="K38" s="3070"/>
      <c r="L38" s="3077"/>
      <c r="M38" s="3071"/>
      <c r="N38" s="3072"/>
    </row>
    <row r="39" spans="1:14" s="1794" customFormat="1" ht="25.5" customHeight="1" x14ac:dyDescent="0.2">
      <c r="A39" s="3070"/>
      <c r="B39" s="3071"/>
      <c r="C39" s="3071"/>
      <c r="D39" s="3086"/>
      <c r="E39" s="1658"/>
      <c r="F39" s="3070"/>
      <c r="G39" s="3071"/>
      <c r="H39" s="3073"/>
      <c r="I39" s="3058"/>
      <c r="J39" s="1658"/>
      <c r="K39" s="3070"/>
      <c r="L39" s="3077"/>
      <c r="M39" s="3071"/>
      <c r="N39" s="3072"/>
    </row>
    <row r="40" spans="1:14" s="1794" customFormat="1" ht="12.75" customHeight="1" x14ac:dyDescent="0.2">
      <c r="A40" s="3070"/>
      <c r="B40" s="3071" t="s">
        <v>2629</v>
      </c>
      <c r="C40" s="3071" t="s">
        <v>2622</v>
      </c>
      <c r="D40" s="3084">
        <v>1790</v>
      </c>
      <c r="E40" s="1658"/>
      <c r="F40" s="3076" t="s">
        <v>2630</v>
      </c>
      <c r="G40" s="3076"/>
      <c r="H40" s="3076"/>
      <c r="I40" s="3076"/>
      <c r="J40" s="1658"/>
      <c r="K40" s="3070"/>
      <c r="L40" s="3077" t="s">
        <v>2631</v>
      </c>
      <c r="M40" s="3071" t="s">
        <v>2632</v>
      </c>
      <c r="N40" s="3072">
        <v>220</v>
      </c>
    </row>
    <row r="41" spans="1:14" s="1794" customFormat="1" ht="32.25" customHeight="1" x14ac:dyDescent="0.2">
      <c r="A41" s="3070"/>
      <c r="B41" s="3071"/>
      <c r="C41" s="3071"/>
      <c r="D41" s="3086"/>
      <c r="E41" s="1658"/>
      <c r="F41" s="3070"/>
      <c r="G41" s="3073" t="s">
        <v>2633</v>
      </c>
      <c r="H41" s="3073" t="s">
        <v>2613</v>
      </c>
      <c r="I41" s="3058">
        <v>4860</v>
      </c>
      <c r="J41" s="1658"/>
      <c r="K41" s="3070"/>
      <c r="L41" s="3077"/>
      <c r="M41" s="3071"/>
      <c r="N41" s="3072"/>
    </row>
    <row r="42" spans="1:14" s="1794" customFormat="1" ht="14.25" customHeight="1" x14ac:dyDescent="0.2">
      <c r="A42" s="3076" t="s">
        <v>2634</v>
      </c>
      <c r="B42" s="3076"/>
      <c r="C42" s="3076"/>
      <c r="D42" s="3076"/>
      <c r="E42" s="1658"/>
      <c r="F42" s="3070"/>
      <c r="G42" s="3073"/>
      <c r="H42" s="3073"/>
      <c r="I42" s="3058"/>
      <c r="J42" s="1658"/>
      <c r="K42" s="3070"/>
      <c r="L42" s="3071" t="s">
        <v>2635</v>
      </c>
      <c r="M42" s="3073" t="s">
        <v>2632</v>
      </c>
      <c r="N42" s="3083">
        <v>265</v>
      </c>
    </row>
    <row r="43" spans="1:14" s="1794" customFormat="1" ht="32.25" customHeight="1" x14ac:dyDescent="0.2">
      <c r="A43" s="3070"/>
      <c r="B43" s="3071" t="s">
        <v>2636</v>
      </c>
      <c r="C43" s="3071" t="s">
        <v>2637</v>
      </c>
      <c r="D43" s="3072">
        <v>1980</v>
      </c>
      <c r="E43" s="1658"/>
      <c r="F43" s="3070"/>
      <c r="G43" s="3073"/>
      <c r="H43" s="3073"/>
      <c r="I43" s="3058"/>
      <c r="J43" s="1658"/>
      <c r="K43" s="3070"/>
      <c r="L43" s="3071"/>
      <c r="M43" s="3073"/>
      <c r="N43" s="3083"/>
    </row>
    <row r="44" spans="1:14" s="1794" customFormat="1" ht="36" customHeight="1" x14ac:dyDescent="0.2">
      <c r="A44" s="3070"/>
      <c r="B44" s="3071"/>
      <c r="C44" s="3071"/>
      <c r="D44" s="3072"/>
      <c r="E44" s="1658"/>
      <c r="F44" s="3070"/>
      <c r="G44" s="3095" t="s">
        <v>2638</v>
      </c>
      <c r="H44" s="3073"/>
      <c r="I44" s="3058">
        <v>5810</v>
      </c>
      <c r="J44" s="1658"/>
      <c r="K44" s="1803"/>
      <c r="L44" s="1804" t="s">
        <v>2639</v>
      </c>
      <c r="M44" s="1805" t="s">
        <v>2640</v>
      </c>
      <c r="N44" s="1947">
        <v>275</v>
      </c>
    </row>
    <row r="45" spans="1:14" s="1794" customFormat="1" ht="32.25" customHeight="1" x14ac:dyDescent="0.2">
      <c r="A45" s="3070"/>
      <c r="B45" s="3071" t="s">
        <v>2641</v>
      </c>
      <c r="C45" s="3071" t="s">
        <v>2642</v>
      </c>
      <c r="D45" s="3072">
        <v>1320</v>
      </c>
      <c r="E45" s="1658"/>
      <c r="F45" s="3070"/>
      <c r="G45" s="3096"/>
      <c r="H45" s="3073"/>
      <c r="I45" s="3058"/>
      <c r="J45" s="1658"/>
      <c r="K45" s="3070"/>
      <c r="L45" s="3071" t="s">
        <v>2643</v>
      </c>
      <c r="M45" s="3073" t="s">
        <v>2644</v>
      </c>
      <c r="N45" s="3083">
        <v>365</v>
      </c>
    </row>
    <row r="46" spans="1:14" s="1794" customFormat="1" ht="22.5" customHeight="1" x14ac:dyDescent="0.2">
      <c r="A46" s="3070"/>
      <c r="B46" s="3071"/>
      <c r="C46" s="3071"/>
      <c r="D46" s="3072"/>
      <c r="E46" s="1658"/>
      <c r="F46" s="3070"/>
      <c r="G46" s="3097"/>
      <c r="H46" s="3073"/>
      <c r="I46" s="3058"/>
      <c r="J46" s="1658"/>
      <c r="K46" s="3070"/>
      <c r="L46" s="3071"/>
      <c r="M46" s="3073"/>
      <c r="N46" s="3083"/>
    </row>
    <row r="47" spans="1:14" s="1794" customFormat="1" ht="12.75" customHeight="1" x14ac:dyDescent="0.2">
      <c r="A47" s="3076" t="s">
        <v>2645</v>
      </c>
      <c r="B47" s="3076"/>
      <c r="C47" s="3076"/>
      <c r="D47" s="3076"/>
      <c r="E47" s="1658"/>
      <c r="F47" s="3076" t="s">
        <v>2646</v>
      </c>
      <c r="G47" s="3076"/>
      <c r="H47" s="3076"/>
      <c r="I47" s="3076"/>
      <c r="J47" s="1658"/>
      <c r="K47" s="3070"/>
      <c r="L47" s="3071" t="s">
        <v>2647</v>
      </c>
      <c r="M47" s="3073" t="s">
        <v>2648</v>
      </c>
      <c r="N47" s="3083">
        <v>430</v>
      </c>
    </row>
    <row r="48" spans="1:14" s="1794" customFormat="1" ht="45.75" customHeight="1" x14ac:dyDescent="0.2">
      <c r="A48" s="1806"/>
      <c r="B48" s="1801" t="s">
        <v>289</v>
      </c>
      <c r="C48" s="1801" t="s">
        <v>2649</v>
      </c>
      <c r="D48" s="1928">
        <v>600</v>
      </c>
      <c r="E48" s="1658"/>
      <c r="F48" s="1807"/>
      <c r="G48" s="1808" t="s">
        <v>2650</v>
      </c>
      <c r="H48" s="1808" t="s">
        <v>2651</v>
      </c>
      <c r="I48" s="1802">
        <v>200</v>
      </c>
      <c r="J48" s="1658"/>
      <c r="K48" s="3070"/>
      <c r="L48" s="3071"/>
      <c r="M48" s="3073"/>
      <c r="N48" s="3083"/>
    </row>
    <row r="49" spans="1:14" s="1794" customFormat="1" ht="42" customHeight="1" x14ac:dyDescent="0.2">
      <c r="A49" s="1803"/>
      <c r="B49" s="1809" t="s">
        <v>2652</v>
      </c>
      <c r="C49" s="1809" t="s">
        <v>2653</v>
      </c>
      <c r="D49" s="1947">
        <v>455</v>
      </c>
      <c r="E49" s="1658"/>
      <c r="F49" s="1807"/>
      <c r="G49" s="1808" t="s">
        <v>2654</v>
      </c>
      <c r="H49" s="1808" t="s">
        <v>2655</v>
      </c>
      <c r="I49" s="1802">
        <v>700</v>
      </c>
      <c r="J49" s="1658"/>
      <c r="K49" s="3070"/>
      <c r="L49" s="3071" t="s">
        <v>2656</v>
      </c>
      <c r="M49" s="3073" t="s">
        <v>2657</v>
      </c>
      <c r="N49" s="3083">
        <v>255</v>
      </c>
    </row>
    <row r="50" spans="1:14" s="1794" customFormat="1" ht="12.75" customHeight="1" x14ac:dyDescent="0.2">
      <c r="A50" s="3070"/>
      <c r="B50" s="3071" t="s">
        <v>2658</v>
      </c>
      <c r="C50" s="3071" t="s">
        <v>2653</v>
      </c>
      <c r="D50" s="3072">
        <v>415</v>
      </c>
      <c r="E50" s="1658"/>
      <c r="F50" s="3076" t="s">
        <v>2659</v>
      </c>
      <c r="G50" s="3076"/>
      <c r="H50" s="3076"/>
      <c r="I50" s="3076"/>
      <c r="J50" s="1658"/>
      <c r="K50" s="3070"/>
      <c r="L50" s="3071"/>
      <c r="M50" s="3073"/>
      <c r="N50" s="3083"/>
    </row>
    <row r="51" spans="1:14" s="1794" customFormat="1" ht="45" customHeight="1" x14ac:dyDescent="0.2">
      <c r="A51" s="3070"/>
      <c r="B51" s="3071"/>
      <c r="C51" s="3071"/>
      <c r="D51" s="3072"/>
      <c r="E51" s="1658"/>
      <c r="F51" s="1810"/>
      <c r="G51" s="1811" t="s">
        <v>2660</v>
      </c>
      <c r="H51" s="3066" t="s">
        <v>17</v>
      </c>
      <c r="I51" s="1802">
        <v>4320</v>
      </c>
      <c r="J51" s="1658"/>
      <c r="K51" s="1807"/>
      <c r="L51" s="1812" t="s">
        <v>2661</v>
      </c>
      <c r="M51" s="1812" t="s">
        <v>2662</v>
      </c>
      <c r="N51" s="1946">
        <v>155</v>
      </c>
    </row>
    <row r="52" spans="1:14" s="1794" customFormat="1" ht="51" customHeight="1" x14ac:dyDescent="0.2">
      <c r="A52" s="1806"/>
      <c r="B52" s="1801" t="s">
        <v>2663</v>
      </c>
      <c r="C52" s="1801" t="s">
        <v>2664</v>
      </c>
      <c r="D52" s="1946">
        <v>385</v>
      </c>
      <c r="E52" s="1658"/>
      <c r="F52" s="1810"/>
      <c r="G52" s="1811" t="s">
        <v>2665</v>
      </c>
      <c r="H52" s="3067"/>
      <c r="I52" s="1802">
        <v>4980</v>
      </c>
      <c r="J52" s="1658"/>
      <c r="K52" s="1807"/>
      <c r="L52" s="1812" t="s">
        <v>2666</v>
      </c>
      <c r="M52" s="1812" t="s">
        <v>2667</v>
      </c>
      <c r="N52" s="1946">
        <v>180</v>
      </c>
    </row>
    <row r="53" spans="1:14" s="1794" customFormat="1" ht="48" customHeight="1" x14ac:dyDescent="0.2">
      <c r="A53" s="1806"/>
      <c r="B53" s="1801" t="s">
        <v>2668</v>
      </c>
      <c r="C53" s="1801" t="s">
        <v>2664</v>
      </c>
      <c r="D53" s="1946">
        <v>345</v>
      </c>
      <c r="E53" s="1658"/>
      <c r="F53" s="1810"/>
      <c r="G53" s="1811" t="s">
        <v>2669</v>
      </c>
      <c r="H53" s="3067"/>
      <c r="I53" s="1802">
        <v>3820</v>
      </c>
      <c r="J53" s="1658"/>
      <c r="K53" s="1807"/>
      <c r="L53" s="1812" t="s">
        <v>2670</v>
      </c>
      <c r="M53" s="1812" t="s">
        <v>2671</v>
      </c>
      <c r="N53" s="1946">
        <v>295</v>
      </c>
    </row>
    <row r="54" spans="1:14" s="1794" customFormat="1" ht="66.75" customHeight="1" x14ac:dyDescent="0.2">
      <c r="A54" s="2756" t="s">
        <v>2678</v>
      </c>
      <c r="B54" s="3094"/>
      <c r="C54" s="3094"/>
      <c r="D54" s="2757"/>
      <c r="E54" s="1658"/>
      <c r="F54" s="1810"/>
      <c r="G54" s="1811" t="s">
        <v>2672</v>
      </c>
      <c r="H54" s="3068"/>
      <c r="I54" s="1802">
        <v>3980</v>
      </c>
      <c r="J54" s="1658"/>
      <c r="K54" s="1807"/>
      <c r="L54" s="1812" t="s">
        <v>2673</v>
      </c>
      <c r="M54" s="1812" t="s">
        <v>2674</v>
      </c>
      <c r="N54" s="1946">
        <v>1100</v>
      </c>
    </row>
    <row r="55" spans="1:14" ht="14.25" x14ac:dyDescent="0.2">
      <c r="A55" s="1813" t="s">
        <v>2675</v>
      </c>
      <c r="F55" s="1813" t="s">
        <v>2676</v>
      </c>
    </row>
    <row r="56" spans="1:14" ht="14.25" x14ac:dyDescent="0.2">
      <c r="A56" s="1813" t="s">
        <v>290</v>
      </c>
      <c r="F56" s="1813" t="s">
        <v>2677</v>
      </c>
    </row>
  </sheetData>
  <mergeCells count="131">
    <mergeCell ref="H18:J18"/>
    <mergeCell ref="H19:J19"/>
    <mergeCell ref="H20:J20"/>
    <mergeCell ref="H21:J21"/>
    <mergeCell ref="H22:J22"/>
    <mergeCell ref="H23:J23"/>
    <mergeCell ref="G6:G7"/>
    <mergeCell ref="A7:B7"/>
    <mergeCell ref="C6:F6"/>
    <mergeCell ref="C7:E7"/>
    <mergeCell ref="G8:G10"/>
    <mergeCell ref="H8:J9"/>
    <mergeCell ref="H11:J12"/>
    <mergeCell ref="G11:G23"/>
    <mergeCell ref="B9:B10"/>
    <mergeCell ref="H6:J7"/>
    <mergeCell ref="H10:J10"/>
    <mergeCell ref="H13:J13"/>
    <mergeCell ref="H14:J14"/>
    <mergeCell ref="H15:J15"/>
    <mergeCell ref="H16:J16"/>
    <mergeCell ref="A4:N4"/>
    <mergeCell ref="A54:D54"/>
    <mergeCell ref="K49:K50"/>
    <mergeCell ref="L49:L50"/>
    <mergeCell ref="M49:M50"/>
    <mergeCell ref="N49:N50"/>
    <mergeCell ref="A50:A51"/>
    <mergeCell ref="B50:B51"/>
    <mergeCell ref="C50:C51"/>
    <mergeCell ref="D50:D51"/>
    <mergeCell ref="F50:I50"/>
    <mergeCell ref="H51:H54"/>
    <mergeCell ref="A47:D47"/>
    <mergeCell ref="C45:C46"/>
    <mergeCell ref="D45:D46"/>
    <mergeCell ref="K45:K46"/>
    <mergeCell ref="A43:A44"/>
    <mergeCell ref="B43:B44"/>
    <mergeCell ref="C43:C44"/>
    <mergeCell ref="D43:D44"/>
    <mergeCell ref="G44:G46"/>
    <mergeCell ref="F47:I47"/>
    <mergeCell ref="B12:B23"/>
    <mergeCell ref="A8:B8"/>
    <mergeCell ref="K47:K48"/>
    <mergeCell ref="A40:A41"/>
    <mergeCell ref="B40:B41"/>
    <mergeCell ref="C40:C41"/>
    <mergeCell ref="D40:D41"/>
    <mergeCell ref="F40:I40"/>
    <mergeCell ref="L40:L41"/>
    <mergeCell ref="M40:M41"/>
    <mergeCell ref="A42:D42"/>
    <mergeCell ref="A45:A46"/>
    <mergeCell ref="B45:B46"/>
    <mergeCell ref="L47:L48"/>
    <mergeCell ref="M47:M48"/>
    <mergeCell ref="N40:N41"/>
    <mergeCell ref="F41:F46"/>
    <mergeCell ref="G41:G43"/>
    <mergeCell ref="H41:H46"/>
    <mergeCell ref="I41:I43"/>
    <mergeCell ref="I44:I46"/>
    <mergeCell ref="M45:M46"/>
    <mergeCell ref="N45:N46"/>
    <mergeCell ref="K40:K41"/>
    <mergeCell ref="N42:N43"/>
    <mergeCell ref="L45:L46"/>
    <mergeCell ref="K42:K43"/>
    <mergeCell ref="L42:L43"/>
    <mergeCell ref="M42:M43"/>
    <mergeCell ref="N47:N48"/>
    <mergeCell ref="A37:A39"/>
    <mergeCell ref="B37:B39"/>
    <mergeCell ref="C37:C39"/>
    <mergeCell ref="D37:D39"/>
    <mergeCell ref="F37:I37"/>
    <mergeCell ref="N34:N36"/>
    <mergeCell ref="A35:A36"/>
    <mergeCell ref="B35:B36"/>
    <mergeCell ref="C35:C36"/>
    <mergeCell ref="D35:D36"/>
    <mergeCell ref="K37:K39"/>
    <mergeCell ref="L37:L39"/>
    <mergeCell ref="M37:M39"/>
    <mergeCell ref="N37:N39"/>
    <mergeCell ref="F38:F39"/>
    <mergeCell ref="G38:G39"/>
    <mergeCell ref="H38:H39"/>
    <mergeCell ref="I38:I39"/>
    <mergeCell ref="A34:D34"/>
    <mergeCell ref="G34:G35"/>
    <mergeCell ref="I34:I35"/>
    <mergeCell ref="K34:K36"/>
    <mergeCell ref="L34:L36"/>
    <mergeCell ref="M34:M36"/>
    <mergeCell ref="C8:E23"/>
    <mergeCell ref="A32:A33"/>
    <mergeCell ref="B32:B33"/>
    <mergeCell ref="C32:C33"/>
    <mergeCell ref="D32:D33"/>
    <mergeCell ref="F32:F36"/>
    <mergeCell ref="H32:H36"/>
    <mergeCell ref="A28:N28"/>
    <mergeCell ref="M29:N29"/>
    <mergeCell ref="A31:D31"/>
    <mergeCell ref="F31:I31"/>
    <mergeCell ref="K31:N31"/>
    <mergeCell ref="K32:K33"/>
    <mergeCell ref="L32:L33"/>
    <mergeCell ref="M32:M33"/>
    <mergeCell ref="N32:N33"/>
    <mergeCell ref="K21:N21"/>
    <mergeCell ref="K22:N22"/>
    <mergeCell ref="K23:N23"/>
    <mergeCell ref="F8:F23"/>
    <mergeCell ref="K10:N10"/>
    <mergeCell ref="A11:B11"/>
    <mergeCell ref="H17:J17"/>
    <mergeCell ref="K6:N7"/>
    <mergeCell ref="K13:N13"/>
    <mergeCell ref="K14:N14"/>
    <mergeCell ref="K15:N15"/>
    <mergeCell ref="K17:N17"/>
    <mergeCell ref="K18:N18"/>
    <mergeCell ref="K19:N19"/>
    <mergeCell ref="K20:N20"/>
    <mergeCell ref="K8:N9"/>
    <mergeCell ref="K11:N12"/>
    <mergeCell ref="K16:N16"/>
  </mergeCells>
  <printOptions horizontalCentered="1" verticalCentered="1"/>
  <pageMargins left="0.19685039370078741" right="0.19685039370078741" top="0.19685039370078741" bottom="0" header="0.51181102362204722" footer="0.51181102362204722"/>
  <pageSetup paperSize="9" scale="45" firstPageNumber="0" orientation="landscape" r:id="rId1"/>
  <headerFooter alignWithMargins="0"/>
  <rowBreaks count="1" manualBreakCount="1">
    <brk id="56" max="13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1"/>
  <dimension ref="A1:S97"/>
  <sheetViews>
    <sheetView zoomScale="40" zoomScaleNormal="40" zoomScaleSheetLayoutView="30" zoomScalePageLayoutView="25" workbookViewId="0">
      <selection sqref="A1:S8"/>
    </sheetView>
  </sheetViews>
  <sheetFormatPr defaultRowHeight="12.75" x14ac:dyDescent="0.2"/>
  <cols>
    <col min="1" max="1" width="94.140625" style="21" customWidth="1"/>
    <col min="2" max="2" width="28.42578125" style="21" customWidth="1"/>
    <col min="3" max="3" width="37" style="21" customWidth="1"/>
    <col min="4" max="4" width="23.42578125" style="21" customWidth="1"/>
    <col min="5" max="5" width="51.5703125" style="21" customWidth="1"/>
    <col min="6" max="6" width="5.140625" style="21" customWidth="1"/>
    <col min="7" max="7" width="81.42578125" style="21" customWidth="1"/>
    <col min="8" max="8" width="40" style="21" customWidth="1"/>
    <col min="9" max="9" width="39.140625" style="21" customWidth="1"/>
    <col min="10" max="10" width="41.5703125" style="21" customWidth="1"/>
    <col min="11" max="11" width="20.5703125" style="21" customWidth="1"/>
    <col min="12" max="13" width="19.42578125" style="21" customWidth="1"/>
    <col min="14" max="14" width="10.28515625" style="21" customWidth="1"/>
    <col min="15" max="15" width="20.42578125" style="21" customWidth="1"/>
    <col min="16" max="16" width="13.42578125" style="21" customWidth="1"/>
    <col min="17" max="17" width="11.140625" style="21" customWidth="1"/>
    <col min="18" max="18" width="9.5703125" style="21" customWidth="1"/>
    <col min="19" max="19" width="9.28515625" style="21" customWidth="1"/>
    <col min="20" max="20" width="7.5703125" style="21" customWidth="1"/>
    <col min="21" max="16384" width="9.140625" style="21"/>
  </cols>
  <sheetData>
    <row r="1" spans="1:19" s="125" customFormat="1" ht="27" x14ac:dyDescent="0.35">
      <c r="A1" s="3156"/>
      <c r="B1" s="3156"/>
      <c r="C1" s="3156"/>
      <c r="D1" s="3156"/>
      <c r="E1" s="3156"/>
      <c r="F1" s="3156"/>
      <c r="G1" s="3156"/>
      <c r="H1" s="3156"/>
      <c r="I1" s="3156"/>
      <c r="J1" s="3156"/>
      <c r="K1" s="3156"/>
      <c r="L1" s="3156"/>
      <c r="M1" s="3156"/>
      <c r="N1" s="3156"/>
      <c r="O1" s="3156"/>
      <c r="P1" s="3156"/>
      <c r="Q1" s="3156"/>
      <c r="R1" s="3156"/>
      <c r="S1" s="3156"/>
    </row>
    <row r="2" spans="1:19" s="125" customFormat="1" ht="27" x14ac:dyDescent="0.35">
      <c r="A2" s="3156"/>
      <c r="B2" s="3156"/>
      <c r="C2" s="3156"/>
      <c r="D2" s="3156"/>
      <c r="E2" s="3156"/>
      <c r="F2" s="3156"/>
      <c r="G2" s="3156"/>
      <c r="H2" s="3156"/>
      <c r="I2" s="3156"/>
      <c r="J2" s="3156"/>
      <c r="K2" s="3156"/>
      <c r="L2" s="3156"/>
      <c r="M2" s="3156"/>
      <c r="N2" s="3156"/>
      <c r="O2" s="3156"/>
      <c r="P2" s="3156"/>
      <c r="Q2" s="3156"/>
      <c r="R2" s="3156"/>
      <c r="S2" s="3156"/>
    </row>
    <row r="3" spans="1:19" s="125" customFormat="1" ht="27" x14ac:dyDescent="0.35">
      <c r="A3" s="3156"/>
      <c r="B3" s="3156"/>
      <c r="C3" s="3156"/>
      <c r="D3" s="3156"/>
      <c r="E3" s="3156"/>
      <c r="F3" s="3156"/>
      <c r="G3" s="3156"/>
      <c r="H3" s="3156"/>
      <c r="I3" s="3156"/>
      <c r="J3" s="3156"/>
      <c r="K3" s="3156"/>
      <c r="L3" s="3156"/>
      <c r="M3" s="3156"/>
      <c r="N3" s="3156"/>
      <c r="O3" s="3156"/>
      <c r="P3" s="3156"/>
      <c r="Q3" s="3156"/>
      <c r="R3" s="3156"/>
      <c r="S3" s="3156"/>
    </row>
    <row r="4" spans="1:19" s="125" customFormat="1" ht="27" x14ac:dyDescent="0.35">
      <c r="A4" s="3156"/>
      <c r="B4" s="3156"/>
      <c r="C4" s="3156"/>
      <c r="D4" s="3156"/>
      <c r="E4" s="3156"/>
      <c r="F4" s="3156"/>
      <c r="G4" s="3156"/>
      <c r="H4" s="3156"/>
      <c r="I4" s="3156"/>
      <c r="J4" s="3156"/>
      <c r="K4" s="3156"/>
      <c r="L4" s="3156"/>
      <c r="M4" s="3156"/>
      <c r="N4" s="3156"/>
      <c r="O4" s="3156"/>
      <c r="P4" s="3156"/>
      <c r="Q4" s="3156"/>
      <c r="R4" s="3156"/>
      <c r="S4" s="3156"/>
    </row>
    <row r="5" spans="1:19" s="125" customFormat="1" ht="27" x14ac:dyDescent="0.35">
      <c r="A5" s="3156"/>
      <c r="B5" s="3156"/>
      <c r="C5" s="3156"/>
      <c r="D5" s="3156"/>
      <c r="E5" s="3156"/>
      <c r="F5" s="3156"/>
      <c r="G5" s="3156"/>
      <c r="H5" s="3156"/>
      <c r="I5" s="3156"/>
      <c r="J5" s="3156"/>
      <c r="K5" s="3156"/>
      <c r="L5" s="3156"/>
      <c r="M5" s="3156"/>
      <c r="N5" s="3156"/>
      <c r="O5" s="3156"/>
      <c r="P5" s="3156"/>
      <c r="Q5" s="3156"/>
      <c r="R5" s="3156"/>
      <c r="S5" s="3156"/>
    </row>
    <row r="6" spans="1:19" s="125" customFormat="1" ht="27" x14ac:dyDescent="0.35">
      <c r="A6" s="3156"/>
      <c r="B6" s="3156"/>
      <c r="C6" s="3156"/>
      <c r="D6" s="3156"/>
      <c r="E6" s="3156"/>
      <c r="F6" s="3156"/>
      <c r="G6" s="3156"/>
      <c r="H6" s="3156"/>
      <c r="I6" s="3156"/>
      <c r="J6" s="3156"/>
      <c r="K6" s="3156"/>
      <c r="L6" s="3156"/>
      <c r="M6" s="3156"/>
      <c r="N6" s="3156"/>
      <c r="O6" s="3156"/>
      <c r="P6" s="3156"/>
      <c r="Q6" s="3156"/>
      <c r="R6" s="3156"/>
      <c r="S6" s="3156"/>
    </row>
    <row r="7" spans="1:19" s="125" customFormat="1" ht="27" x14ac:dyDescent="0.35">
      <c r="A7" s="3156"/>
      <c r="B7" s="3156"/>
      <c r="C7" s="3156"/>
      <c r="D7" s="3156"/>
      <c r="E7" s="3156"/>
      <c r="F7" s="3156"/>
      <c r="G7" s="3156"/>
      <c r="H7" s="3156"/>
      <c r="I7" s="3156"/>
      <c r="J7" s="3156"/>
      <c r="K7" s="3156"/>
      <c r="L7" s="3156"/>
      <c r="M7" s="3156"/>
      <c r="N7" s="3156"/>
      <c r="O7" s="3156"/>
      <c r="P7" s="3156"/>
      <c r="Q7" s="3156"/>
      <c r="R7" s="3156"/>
      <c r="S7" s="3156"/>
    </row>
    <row r="8" spans="1:19" s="125" customFormat="1" ht="20.25" customHeight="1" thickBot="1" x14ac:dyDescent="0.4">
      <c r="A8" s="3156"/>
      <c r="B8" s="3156"/>
      <c r="C8" s="3156"/>
      <c r="D8" s="3156"/>
      <c r="E8" s="3156"/>
      <c r="F8" s="3156"/>
      <c r="G8" s="3156"/>
      <c r="H8" s="3156"/>
      <c r="I8" s="3156"/>
      <c r="J8" s="3156"/>
      <c r="K8" s="3156"/>
      <c r="L8" s="3156"/>
      <c r="M8" s="3156"/>
      <c r="N8" s="3156"/>
      <c r="O8" s="3156"/>
      <c r="P8" s="3156"/>
      <c r="Q8" s="3156"/>
      <c r="R8" s="3156"/>
      <c r="S8" s="3156"/>
    </row>
    <row r="9" spans="1:19" s="125" customFormat="1" ht="35.25" customHeight="1" x14ac:dyDescent="0.6">
      <c r="A9" s="3191" t="s">
        <v>291</v>
      </c>
      <c r="B9" s="3191"/>
      <c r="C9" s="3191"/>
      <c r="D9" s="3191"/>
      <c r="E9" s="3191"/>
      <c r="F9" s="3191"/>
      <c r="G9" s="3191"/>
      <c r="H9" s="3191"/>
      <c r="I9" s="3191"/>
      <c r="J9" s="3191"/>
      <c r="K9" s="3191"/>
      <c r="L9" s="3191"/>
      <c r="M9" s="3191"/>
      <c r="N9" s="3191"/>
      <c r="O9" s="3191"/>
    </row>
    <row r="10" spans="1:19" s="125" customFormat="1" ht="25.5" customHeight="1" x14ac:dyDescent="0.4">
      <c r="A10" s="126"/>
      <c r="B10" s="126"/>
      <c r="C10" s="126"/>
      <c r="D10" s="126"/>
      <c r="E10" s="126"/>
      <c r="F10" s="126"/>
      <c r="I10" s="127" t="s">
        <v>1</v>
      </c>
      <c r="J10" s="128" t="s">
        <v>2261</v>
      </c>
      <c r="K10" s="126"/>
      <c r="L10" s="126"/>
      <c r="M10" s="126"/>
      <c r="N10" s="126"/>
      <c r="O10" s="126"/>
    </row>
    <row r="11" spans="1:19" s="125" customFormat="1" ht="27.75" x14ac:dyDescent="0.35">
      <c r="A11" s="129" t="s">
        <v>292</v>
      </c>
      <c r="B11" s="3192" t="s">
        <v>293</v>
      </c>
      <c r="C11" s="3193"/>
      <c r="D11" s="3193"/>
      <c r="E11" s="3193"/>
      <c r="F11" s="3193"/>
      <c r="G11" s="3194"/>
      <c r="H11" s="130" t="s">
        <v>294</v>
      </c>
      <c r="I11" s="130" t="s">
        <v>2276</v>
      </c>
      <c r="J11" s="130" t="s">
        <v>295</v>
      </c>
    </row>
    <row r="12" spans="1:19" s="131" customFormat="1" ht="27.75" x14ac:dyDescent="0.4">
      <c r="A12" s="3135" t="s">
        <v>296</v>
      </c>
      <c r="B12" s="3136"/>
      <c r="C12" s="3136"/>
      <c r="D12" s="3136"/>
      <c r="E12" s="3136"/>
      <c r="F12" s="3136"/>
      <c r="G12" s="3136"/>
      <c r="H12" s="3136"/>
      <c r="I12" s="3136"/>
      <c r="J12" s="3137"/>
    </row>
    <row r="13" spans="1:19" s="125" customFormat="1" ht="27" x14ac:dyDescent="0.35">
      <c r="A13" s="132" t="s">
        <v>297</v>
      </c>
      <c r="B13" s="3151" t="s">
        <v>298</v>
      </c>
      <c r="C13" s="3152"/>
      <c r="D13" s="3152"/>
      <c r="E13" s="3152"/>
      <c r="F13" s="3152"/>
      <c r="G13" s="3153"/>
      <c r="H13" s="133" t="s">
        <v>299</v>
      </c>
      <c r="I13" s="133">
        <v>1.21</v>
      </c>
      <c r="J13" s="134" t="str">
        <f>ROUND(250*(1-C94),2)&amp;" руб./п.м."</f>
        <v>250 руб./п.м.</v>
      </c>
    </row>
    <row r="14" spans="1:19" s="125" customFormat="1" ht="27" x14ac:dyDescent="0.35">
      <c r="A14" s="132" t="s">
        <v>300</v>
      </c>
      <c r="B14" s="3151" t="s">
        <v>301</v>
      </c>
      <c r="C14" s="3152"/>
      <c r="D14" s="3152"/>
      <c r="E14" s="3152"/>
      <c r="F14" s="3152"/>
      <c r="G14" s="3153"/>
      <c r="H14" s="133" t="s">
        <v>299</v>
      </c>
      <c r="I14" s="133">
        <v>1.21</v>
      </c>
      <c r="J14" s="134" t="str">
        <f>ROUND(260*(1-C94),2)&amp;" руб./п.м."</f>
        <v>260 руб./п.м.</v>
      </c>
    </row>
    <row r="15" spans="1:19" s="125" customFormat="1" ht="27" x14ac:dyDescent="0.35">
      <c r="A15" s="132" t="s">
        <v>302</v>
      </c>
      <c r="B15" s="3151" t="s">
        <v>303</v>
      </c>
      <c r="C15" s="3152"/>
      <c r="D15" s="3152"/>
      <c r="E15" s="3152"/>
      <c r="F15" s="3152"/>
      <c r="G15" s="3153"/>
      <c r="H15" s="133" t="s">
        <v>299</v>
      </c>
      <c r="I15" s="133">
        <v>1.21</v>
      </c>
      <c r="J15" s="134" t="str">
        <f>ROUND(350*(1-C94),2)&amp;" руб./п.м."</f>
        <v>350 руб./п.м.</v>
      </c>
    </row>
    <row r="16" spans="1:19" s="125" customFormat="1" ht="54" x14ac:dyDescent="0.35">
      <c r="A16" s="1545" t="s">
        <v>304</v>
      </c>
      <c r="B16" s="3202" t="s">
        <v>305</v>
      </c>
      <c r="C16" s="3203"/>
      <c r="D16" s="3203"/>
      <c r="E16" s="3203"/>
      <c r="F16" s="3203"/>
      <c r="G16" s="3204"/>
      <c r="H16" s="1541" t="s">
        <v>299</v>
      </c>
      <c r="I16" s="1540" t="s">
        <v>2267</v>
      </c>
      <c r="J16" s="136" t="str">
        <f>ROUND(350*(1-C94),2)&amp;" руб./п.м."</f>
        <v>350 руб./п.м.</v>
      </c>
    </row>
    <row r="17" spans="1:10" s="125" customFormat="1" ht="27.75" x14ac:dyDescent="0.4">
      <c r="A17" s="3135" t="s">
        <v>2335</v>
      </c>
      <c r="B17" s="3136"/>
      <c r="C17" s="3136"/>
      <c r="D17" s="3136"/>
      <c r="E17" s="3136"/>
      <c r="F17" s="3136"/>
      <c r="G17" s="3136"/>
      <c r="H17" s="3136"/>
      <c r="I17" s="3136"/>
      <c r="J17" s="3137"/>
    </row>
    <row r="18" spans="1:10" s="125" customFormat="1" ht="27" x14ac:dyDescent="0.35">
      <c r="A18" s="143" t="s">
        <v>339</v>
      </c>
      <c r="B18" s="3138" t="s">
        <v>340</v>
      </c>
      <c r="C18" s="3139"/>
      <c r="D18" s="3139"/>
      <c r="E18" s="3139"/>
      <c r="F18" s="3139"/>
      <c r="G18" s="3140"/>
      <c r="H18" s="1541" t="s">
        <v>299</v>
      </c>
      <c r="I18" s="1543"/>
      <c r="J18" s="142" t="str">
        <f>ROUND(590*(1-C94),2)&amp;" руб./п.м."</f>
        <v>590 руб./п.м.</v>
      </c>
    </row>
    <row r="19" spans="1:10" s="131" customFormat="1" ht="27.75" x14ac:dyDescent="0.4">
      <c r="A19" s="3135" t="s">
        <v>306</v>
      </c>
      <c r="B19" s="3136"/>
      <c r="C19" s="3136"/>
      <c r="D19" s="3136"/>
      <c r="E19" s="3136"/>
      <c r="F19" s="3136"/>
      <c r="G19" s="3136"/>
      <c r="H19" s="3136"/>
      <c r="I19" s="3136"/>
      <c r="J19" s="3137"/>
    </row>
    <row r="20" spans="1:10" s="131" customFormat="1" ht="27" x14ac:dyDescent="0.35">
      <c r="A20" s="132" t="s">
        <v>307</v>
      </c>
      <c r="B20" s="3151" t="s">
        <v>308</v>
      </c>
      <c r="C20" s="3152"/>
      <c r="D20" s="3152"/>
      <c r="E20" s="3152"/>
      <c r="F20" s="3152"/>
      <c r="G20" s="3153"/>
      <c r="H20" s="133" t="s">
        <v>309</v>
      </c>
      <c r="I20" s="133" t="s">
        <v>2268</v>
      </c>
      <c r="J20" s="137" t="str">
        <f>ROUND(250*(1-C94),2)&amp;" руб./п.м."</f>
        <v>250 руб./п.м.</v>
      </c>
    </row>
    <row r="21" spans="1:10" s="125" customFormat="1" ht="27" customHeight="1" x14ac:dyDescent="0.35">
      <c r="A21" s="132" t="s">
        <v>310</v>
      </c>
      <c r="B21" s="3151" t="s">
        <v>311</v>
      </c>
      <c r="C21" s="3152"/>
      <c r="D21" s="3152"/>
      <c r="E21" s="3152"/>
      <c r="F21" s="3152"/>
      <c r="G21" s="3153"/>
      <c r="H21" s="133" t="s">
        <v>312</v>
      </c>
      <c r="I21" s="133" t="s">
        <v>2268</v>
      </c>
      <c r="J21" s="137" t="str">
        <f>ROUND(250*(1-C94),2)&amp;" руб./п.м."</f>
        <v>250 руб./п.м.</v>
      </c>
    </row>
    <row r="22" spans="1:10" s="125" customFormat="1" ht="27" x14ac:dyDescent="0.35">
      <c r="A22" s="132" t="s">
        <v>313</v>
      </c>
      <c r="B22" s="3151" t="s">
        <v>314</v>
      </c>
      <c r="C22" s="3152"/>
      <c r="D22" s="3152"/>
      <c r="E22" s="3152"/>
      <c r="F22" s="3152"/>
      <c r="G22" s="3153"/>
      <c r="H22" s="133" t="s">
        <v>312</v>
      </c>
      <c r="I22" s="133" t="s">
        <v>2268</v>
      </c>
      <c r="J22" s="137" t="str">
        <f>ROUND(260*(1-C94),2)&amp;" руб./п.м."</f>
        <v>260 руб./п.м.</v>
      </c>
    </row>
    <row r="23" spans="1:10" s="125" customFormat="1" ht="50.25" customHeight="1" x14ac:dyDescent="0.35">
      <c r="A23" s="1544" t="s">
        <v>315</v>
      </c>
      <c r="B23" s="3183" t="s">
        <v>316</v>
      </c>
      <c r="C23" s="3184"/>
      <c r="D23" s="3184"/>
      <c r="E23" s="3184"/>
      <c r="F23" s="3184"/>
      <c r="G23" s="3185"/>
      <c r="H23" s="3189" t="s">
        <v>317</v>
      </c>
      <c r="I23" s="3187" t="s">
        <v>2278</v>
      </c>
      <c r="J23" s="134" t="str">
        <f>ROUND(120*(1-C94),2)&amp;" руб./п.м."</f>
        <v>120 руб./п.м.</v>
      </c>
    </row>
    <row r="24" spans="1:10" s="125" customFormat="1" ht="55.5" customHeight="1" x14ac:dyDescent="0.35">
      <c r="A24" s="1544" t="s">
        <v>318</v>
      </c>
      <c r="B24" s="3183" t="s">
        <v>319</v>
      </c>
      <c r="C24" s="3184"/>
      <c r="D24" s="3184"/>
      <c r="E24" s="3184"/>
      <c r="F24" s="3184"/>
      <c r="G24" s="3185"/>
      <c r="H24" s="3190"/>
      <c r="I24" s="3188"/>
      <c r="J24" s="134" t="str">
        <f>ROUND(130*(1-C94),2)&amp;" руб./п.м."</f>
        <v>130 руб./п.м.</v>
      </c>
    </row>
    <row r="25" spans="1:10" s="125" customFormat="1" ht="27" x14ac:dyDescent="0.35">
      <c r="A25" s="132" t="s">
        <v>320</v>
      </c>
      <c r="B25" s="3151" t="s">
        <v>321</v>
      </c>
      <c r="C25" s="3152"/>
      <c r="D25" s="3152"/>
      <c r="E25" s="3152"/>
      <c r="F25" s="3152"/>
      <c r="G25" s="3153"/>
      <c r="H25" s="133" t="s">
        <v>312</v>
      </c>
      <c r="I25" s="133">
        <v>1.26</v>
      </c>
      <c r="J25" s="137" t="str">
        <f>ROUND(350*(1-C94),2)&amp;" руб./п.м."</f>
        <v>350 руб./п.м.</v>
      </c>
    </row>
    <row r="26" spans="1:10" s="125" customFormat="1" ht="27" x14ac:dyDescent="0.35">
      <c r="A26" s="135" t="s">
        <v>2279</v>
      </c>
      <c r="B26" s="3120" t="s">
        <v>322</v>
      </c>
      <c r="C26" s="3121"/>
      <c r="D26" s="3121"/>
      <c r="E26" s="3121"/>
      <c r="F26" s="3121"/>
      <c r="G26" s="3122"/>
      <c r="H26" s="133" t="s">
        <v>312</v>
      </c>
      <c r="I26" s="133">
        <v>1.35</v>
      </c>
      <c r="J26" s="137" t="str">
        <f>ROUND(350*(1-C94),2)&amp;" руб./п.м."</f>
        <v>350 руб./п.м.</v>
      </c>
    </row>
    <row r="27" spans="1:10" s="131" customFormat="1" ht="27.75" x14ac:dyDescent="0.4">
      <c r="A27" s="3135" t="s">
        <v>323</v>
      </c>
      <c r="B27" s="3136"/>
      <c r="C27" s="3136"/>
      <c r="D27" s="3136"/>
      <c r="E27" s="3136"/>
      <c r="F27" s="3136"/>
      <c r="G27" s="3136"/>
      <c r="H27" s="3136"/>
      <c r="I27" s="3136"/>
      <c r="J27" s="3137"/>
    </row>
    <row r="28" spans="1:10" s="125" customFormat="1" ht="27" x14ac:dyDescent="0.35">
      <c r="A28" s="135" t="s">
        <v>324</v>
      </c>
      <c r="B28" s="3120" t="s">
        <v>325</v>
      </c>
      <c r="C28" s="3121"/>
      <c r="D28" s="3121"/>
      <c r="E28" s="3121"/>
      <c r="F28" s="3121"/>
      <c r="G28" s="3122"/>
      <c r="H28" s="138" t="s">
        <v>326</v>
      </c>
      <c r="I28" s="138" t="s">
        <v>2269</v>
      </c>
      <c r="J28" s="139" t="str">
        <f>ROUND(250*(1-C94),2)&amp;" руб./п.м."</f>
        <v>250 руб./п.м.</v>
      </c>
    </row>
    <row r="29" spans="1:10" s="131" customFormat="1" ht="27.75" x14ac:dyDescent="0.4">
      <c r="A29" s="3135" t="s">
        <v>327</v>
      </c>
      <c r="B29" s="3136"/>
      <c r="C29" s="3136"/>
      <c r="D29" s="3136"/>
      <c r="E29" s="3136"/>
      <c r="F29" s="3136"/>
      <c r="G29" s="3136"/>
      <c r="H29" s="3136"/>
      <c r="I29" s="3136"/>
      <c r="J29" s="3137"/>
    </row>
    <row r="30" spans="1:10" s="125" customFormat="1" ht="27" x14ac:dyDescent="0.35">
      <c r="A30" s="132" t="s">
        <v>310</v>
      </c>
      <c r="B30" s="3151" t="s">
        <v>328</v>
      </c>
      <c r="C30" s="3152"/>
      <c r="D30" s="3152"/>
      <c r="E30" s="3152"/>
      <c r="F30" s="3152"/>
      <c r="G30" s="3153"/>
      <c r="H30" s="133" t="s">
        <v>329</v>
      </c>
      <c r="I30" s="133" t="s">
        <v>2270</v>
      </c>
      <c r="J30" s="134" t="str">
        <f>ROUND(330*(1-C94),2)&amp;" руб./п.м."</f>
        <v>330 руб./п.м.</v>
      </c>
    </row>
    <row r="31" spans="1:10" s="125" customFormat="1" ht="27" x14ac:dyDescent="0.35">
      <c r="A31" s="132" t="s">
        <v>330</v>
      </c>
      <c r="B31" s="3151" t="s">
        <v>331</v>
      </c>
      <c r="C31" s="3152"/>
      <c r="D31" s="3152"/>
      <c r="E31" s="3152"/>
      <c r="F31" s="3152"/>
      <c r="G31" s="3153"/>
      <c r="H31" s="133" t="s">
        <v>17</v>
      </c>
      <c r="I31" s="133" t="s">
        <v>2277</v>
      </c>
      <c r="J31" s="134" t="str">
        <f>ROUND(150*(1-C94),2)&amp;" руб./рулон"</f>
        <v>150 руб./рулон</v>
      </c>
    </row>
    <row r="32" spans="1:10" s="125" customFormat="1" ht="27" x14ac:dyDescent="0.35">
      <c r="A32" s="140" t="s">
        <v>332</v>
      </c>
      <c r="B32" s="3120" t="s">
        <v>333</v>
      </c>
      <c r="C32" s="3121"/>
      <c r="D32" s="3121"/>
      <c r="E32" s="3121"/>
      <c r="F32" s="3121"/>
      <c r="G32" s="3122"/>
      <c r="H32" s="141" t="s">
        <v>17</v>
      </c>
      <c r="I32" s="1542" t="s">
        <v>2275</v>
      </c>
      <c r="J32" s="136" t="str">
        <f>ROUND(360*(1-C94),2)&amp;" руб./поддон"</f>
        <v>360 руб./поддон</v>
      </c>
    </row>
    <row r="33" spans="1:10" s="131" customFormat="1" ht="27.75" x14ac:dyDescent="0.4">
      <c r="A33" s="3135" t="s">
        <v>334</v>
      </c>
      <c r="B33" s="3136"/>
      <c r="C33" s="3136"/>
      <c r="D33" s="3136"/>
      <c r="E33" s="3136"/>
      <c r="F33" s="3136"/>
      <c r="G33" s="3136"/>
      <c r="H33" s="3136"/>
      <c r="I33" s="3136"/>
      <c r="J33" s="3137"/>
    </row>
    <row r="34" spans="1:10" s="125" customFormat="1" ht="27" x14ac:dyDescent="0.35">
      <c r="A34" s="1544" t="s">
        <v>335</v>
      </c>
      <c r="B34" s="3183" t="s">
        <v>336</v>
      </c>
      <c r="C34" s="3184"/>
      <c r="D34" s="3184"/>
      <c r="E34" s="3184"/>
      <c r="F34" s="3184"/>
      <c r="G34" s="3185"/>
      <c r="H34" s="1541" t="s">
        <v>299</v>
      </c>
      <c r="I34" s="1543"/>
      <c r="J34" s="148" t="str">
        <f>ROUND(200*(1-C94),2)&amp;" руб./п.м."</f>
        <v>200 руб./п.м.</v>
      </c>
    </row>
    <row r="35" spans="1:10" s="125" customFormat="1" ht="27" x14ac:dyDescent="0.35">
      <c r="A35" s="1544" t="s">
        <v>337</v>
      </c>
      <c r="B35" s="3183" t="s">
        <v>338</v>
      </c>
      <c r="C35" s="3184"/>
      <c r="D35" s="3184"/>
      <c r="E35" s="3184"/>
      <c r="F35" s="3184"/>
      <c r="G35" s="3185"/>
      <c r="H35" s="1541" t="s">
        <v>299</v>
      </c>
      <c r="I35" s="1543"/>
      <c r="J35" s="142" t="str">
        <f>ROUND(130*(1-C94),2)&amp;" руб./п.м."</f>
        <v>130 руб./п.м.</v>
      </c>
    </row>
    <row r="36" spans="1:10" s="125" customFormat="1" ht="27" x14ac:dyDescent="0.35">
      <c r="A36" s="143" t="s">
        <v>339</v>
      </c>
      <c r="B36" s="3138" t="s">
        <v>340</v>
      </c>
      <c r="C36" s="3139"/>
      <c r="D36" s="3139"/>
      <c r="E36" s="3139"/>
      <c r="F36" s="3139"/>
      <c r="G36" s="3140"/>
      <c r="H36" s="1541" t="s">
        <v>299</v>
      </c>
      <c r="I36" s="1543"/>
      <c r="J36" s="144" t="str">
        <f>ROUND(590*(1-C94),2)&amp;" руб./п.м."</f>
        <v>590 руб./п.м.</v>
      </c>
    </row>
    <row r="37" spans="1:10" s="125" customFormat="1" ht="27" x14ac:dyDescent="0.35">
      <c r="A37" s="145" t="s">
        <v>341</v>
      </c>
      <c r="B37" s="3141" t="s">
        <v>342</v>
      </c>
      <c r="C37" s="3142"/>
      <c r="D37" s="3142"/>
      <c r="E37" s="3142"/>
      <c r="F37" s="3142"/>
      <c r="G37" s="3143"/>
      <c r="H37" s="1541" t="s">
        <v>299</v>
      </c>
      <c r="I37" s="1543"/>
      <c r="J37" s="146" t="str">
        <f>ROUND(710*(1-C94),2)&amp;" руб./п.м."</f>
        <v>710 руб./п.м.</v>
      </c>
    </row>
    <row r="38" spans="1:10" s="131" customFormat="1" ht="27.75" x14ac:dyDescent="0.4">
      <c r="A38" s="3135" t="s">
        <v>343</v>
      </c>
      <c r="B38" s="3136"/>
      <c r="C38" s="3136"/>
      <c r="D38" s="3136"/>
      <c r="E38" s="3136"/>
      <c r="F38" s="3136"/>
      <c r="G38" s="3136"/>
      <c r="H38" s="3136"/>
      <c r="I38" s="3136"/>
      <c r="J38" s="3137"/>
    </row>
    <row r="39" spans="1:10" s="125" customFormat="1" ht="27" x14ac:dyDescent="0.35">
      <c r="A39" s="143" t="s">
        <v>344</v>
      </c>
      <c r="B39" s="3138" t="s">
        <v>345</v>
      </c>
      <c r="C39" s="3139"/>
      <c r="D39" s="3139"/>
      <c r="E39" s="3139"/>
      <c r="F39" s="3139"/>
      <c r="G39" s="3140"/>
      <c r="H39" s="147" t="s">
        <v>326</v>
      </c>
      <c r="I39" s="147" t="s">
        <v>2271</v>
      </c>
      <c r="J39" s="148" t="str">
        <f>ROUND(2496*(1-C94),2)&amp;" руб./поддон"</f>
        <v>2496 руб./поддон</v>
      </c>
    </row>
    <row r="40" spans="1:10" s="125" customFormat="1" ht="27" x14ac:dyDescent="0.35">
      <c r="A40" s="143" t="s">
        <v>344</v>
      </c>
      <c r="B40" s="3138" t="s">
        <v>345</v>
      </c>
      <c r="C40" s="3139"/>
      <c r="D40" s="3139"/>
      <c r="E40" s="3139"/>
      <c r="F40" s="3139"/>
      <c r="G40" s="3140"/>
      <c r="H40" s="147" t="s">
        <v>299</v>
      </c>
      <c r="I40" s="147" t="s">
        <v>2271</v>
      </c>
      <c r="J40" s="148" t="str">
        <f>ROUND(3120*(1-C94),2)&amp;" руб./поддон"</f>
        <v>3120 руб./поддон</v>
      </c>
    </row>
    <row r="41" spans="1:10" s="125" customFormat="1" ht="27" x14ac:dyDescent="0.35">
      <c r="A41" s="143" t="s">
        <v>346</v>
      </c>
      <c r="B41" s="3148" t="s">
        <v>347</v>
      </c>
      <c r="C41" s="3149"/>
      <c r="D41" s="3149"/>
      <c r="E41" s="3149"/>
      <c r="F41" s="3149"/>
      <c r="G41" s="3150"/>
      <c r="H41" s="147" t="s">
        <v>348</v>
      </c>
      <c r="I41" s="147" t="s">
        <v>2271</v>
      </c>
      <c r="J41" s="148" t="str">
        <f>ROUND(200*(1-C94),2)&amp;" руб./п.м."</f>
        <v>200 руб./п.м.</v>
      </c>
    </row>
    <row r="42" spans="1:10" s="125" customFormat="1" ht="27" x14ac:dyDescent="0.35">
      <c r="A42" s="143" t="s">
        <v>349</v>
      </c>
      <c r="B42" s="3148" t="s">
        <v>350</v>
      </c>
      <c r="C42" s="3149"/>
      <c r="D42" s="3149"/>
      <c r="E42" s="3149"/>
      <c r="F42" s="3149"/>
      <c r="G42" s="3150"/>
      <c r="H42" s="147" t="s">
        <v>348</v>
      </c>
      <c r="I42" s="147" t="s">
        <v>2271</v>
      </c>
      <c r="J42" s="148" t="str">
        <f>ROUND(400*(1-C94),2)&amp;" руб./п.м."</f>
        <v>400 руб./п.м.</v>
      </c>
    </row>
    <row r="43" spans="1:10" s="125" customFormat="1" ht="27" x14ac:dyDescent="0.35">
      <c r="A43" s="143" t="s">
        <v>351</v>
      </c>
      <c r="B43" s="3160" t="s">
        <v>352</v>
      </c>
      <c r="C43" s="3186"/>
      <c r="D43" s="3186"/>
      <c r="E43" s="3186"/>
      <c r="F43" s="3186"/>
      <c r="G43" s="3161"/>
      <c r="H43" s="147" t="s">
        <v>348</v>
      </c>
      <c r="I43" s="147" t="s">
        <v>2271</v>
      </c>
      <c r="J43" s="148" t="str">
        <f>ROUND(450*(1-C95),2)&amp;" руб./п.м."</f>
        <v>450 руб./п.м.</v>
      </c>
    </row>
    <row r="44" spans="1:10" s="125" customFormat="1" ht="27.75" x14ac:dyDescent="0.4">
      <c r="A44" s="3135" t="s">
        <v>353</v>
      </c>
      <c r="B44" s="3136"/>
      <c r="C44" s="3136"/>
      <c r="D44" s="3136"/>
      <c r="E44" s="3136"/>
      <c r="F44" s="3136"/>
      <c r="G44" s="3136"/>
      <c r="H44" s="3136"/>
      <c r="I44" s="3136"/>
      <c r="J44" s="3137"/>
    </row>
    <row r="45" spans="1:10" s="125" customFormat="1" ht="27" x14ac:dyDescent="0.35">
      <c r="A45" s="143" t="s">
        <v>354</v>
      </c>
      <c r="B45" s="3138" t="s">
        <v>316</v>
      </c>
      <c r="C45" s="3139"/>
      <c r="D45" s="3139"/>
      <c r="E45" s="3139"/>
      <c r="F45" s="3139"/>
      <c r="G45" s="3140"/>
      <c r="H45" s="147" t="s">
        <v>355</v>
      </c>
      <c r="I45" s="147" t="s">
        <v>2273</v>
      </c>
      <c r="J45" s="134" t="str">
        <f>ROUND(0*(1-C94),2)&amp;" руб./п.м."</f>
        <v>0 руб./п.м.</v>
      </c>
    </row>
    <row r="46" spans="1:10" s="125" customFormat="1" ht="27" x14ac:dyDescent="0.35">
      <c r="A46" s="143" t="s">
        <v>356</v>
      </c>
      <c r="B46" s="3141" t="s">
        <v>316</v>
      </c>
      <c r="C46" s="3142"/>
      <c r="D46" s="3142"/>
      <c r="E46" s="3142"/>
      <c r="F46" s="3142"/>
      <c r="G46" s="3143"/>
      <c r="H46" s="147" t="s">
        <v>355</v>
      </c>
      <c r="I46" s="147" t="s">
        <v>2274</v>
      </c>
      <c r="J46" s="134" t="str">
        <f>ROUND(0*(1-C94),2)&amp;" руб./п.м."</f>
        <v>0 руб./п.м.</v>
      </c>
    </row>
    <row r="47" spans="1:10" s="125" customFormat="1" ht="27.75" x14ac:dyDescent="0.4">
      <c r="A47" s="3135" t="s">
        <v>357</v>
      </c>
      <c r="B47" s="3136"/>
      <c r="C47" s="3136"/>
      <c r="D47" s="3136"/>
      <c r="E47" s="3136"/>
      <c r="F47" s="3136"/>
      <c r="G47" s="3136"/>
      <c r="H47" s="3136"/>
      <c r="I47" s="3136"/>
      <c r="J47" s="3137"/>
    </row>
    <row r="48" spans="1:10" s="125" customFormat="1" ht="57.75" customHeight="1" x14ac:dyDescent="0.35">
      <c r="A48" s="149" t="s">
        <v>358</v>
      </c>
      <c r="B48" s="3141" t="s">
        <v>316</v>
      </c>
      <c r="C48" s="3142"/>
      <c r="D48" s="3142"/>
      <c r="E48" s="3142"/>
      <c r="F48" s="3142"/>
      <c r="G48" s="3143"/>
      <c r="H48" s="141" t="s">
        <v>359</v>
      </c>
      <c r="I48" s="141" t="s">
        <v>2272</v>
      </c>
      <c r="J48" s="150" t="str">
        <f>ROUND(0*(1-C94),2)&amp;" руб./поддон"</f>
        <v>0 руб./поддон</v>
      </c>
    </row>
    <row r="49" spans="1:10" s="125" customFormat="1" ht="27" x14ac:dyDescent="0.35">
      <c r="B49" s="151"/>
      <c r="C49" s="151"/>
      <c r="D49" s="151"/>
      <c r="E49" s="151"/>
      <c r="F49" s="151"/>
      <c r="G49" s="151"/>
      <c r="H49" s="152"/>
      <c r="I49" s="152"/>
      <c r="J49" s="153"/>
    </row>
    <row r="50" spans="1:10" s="125" customFormat="1" ht="27.75" x14ac:dyDescent="0.4">
      <c r="A50" s="3174" t="s">
        <v>218</v>
      </c>
      <c r="B50" s="3175"/>
      <c r="C50" s="3175"/>
      <c r="D50" s="3175"/>
      <c r="E50" s="3175"/>
      <c r="F50" s="3176"/>
      <c r="G50" s="154" t="s">
        <v>360</v>
      </c>
      <c r="H50" s="152"/>
      <c r="I50" s="152"/>
      <c r="J50" s="153"/>
    </row>
    <row r="51" spans="1:10" s="125" customFormat="1" ht="27" x14ac:dyDescent="0.35">
      <c r="A51" s="3177" t="s">
        <v>219</v>
      </c>
      <c r="B51" s="3178"/>
      <c r="C51" s="3178"/>
      <c r="D51" s="3178"/>
      <c r="E51" s="3178"/>
      <c r="F51" s="3179"/>
      <c r="G51" s="154" t="s">
        <v>361</v>
      </c>
      <c r="H51" s="152"/>
      <c r="I51" s="152"/>
      <c r="J51" s="153"/>
    </row>
    <row r="52" spans="1:10" s="125" customFormat="1" ht="27" x14ac:dyDescent="0.35">
      <c r="A52" s="3180" t="s">
        <v>220</v>
      </c>
      <c r="B52" s="3181"/>
      <c r="C52" s="3181"/>
      <c r="D52" s="3181"/>
      <c r="E52" s="3181"/>
      <c r="F52" s="3182"/>
      <c r="G52" s="151"/>
      <c r="H52" s="152"/>
      <c r="I52" s="152"/>
      <c r="J52" s="153"/>
    </row>
    <row r="53" spans="1:10" s="125" customFormat="1" ht="27" x14ac:dyDescent="0.35">
      <c r="A53" s="3180" t="s">
        <v>221</v>
      </c>
      <c r="B53" s="3181"/>
      <c r="C53" s="3181"/>
      <c r="D53" s="3181"/>
      <c r="E53" s="3181"/>
      <c r="F53" s="3182"/>
      <c r="G53" s="151"/>
      <c r="H53" s="152"/>
      <c r="I53" s="152"/>
      <c r="J53" s="153"/>
    </row>
    <row r="54" spans="1:10" s="125" customFormat="1" ht="27" x14ac:dyDescent="0.35">
      <c r="A54" s="3180" t="s">
        <v>222</v>
      </c>
      <c r="B54" s="3181"/>
      <c r="C54" s="3181"/>
      <c r="D54" s="3181"/>
      <c r="E54" s="3181"/>
      <c r="F54" s="3182"/>
      <c r="G54" s="151"/>
      <c r="H54" s="152"/>
      <c r="I54" s="152"/>
      <c r="J54" s="153"/>
    </row>
    <row r="55" spans="1:10" s="125" customFormat="1" ht="27" x14ac:dyDescent="0.35">
      <c r="A55" s="3177" t="s">
        <v>223</v>
      </c>
      <c r="B55" s="3178"/>
      <c r="C55" s="3178"/>
      <c r="D55" s="3178"/>
      <c r="E55" s="3178"/>
      <c r="F55" s="3179"/>
      <c r="G55" s="154"/>
      <c r="H55" s="154"/>
      <c r="I55" s="154"/>
      <c r="J55" s="155"/>
    </row>
    <row r="56" spans="1:10" s="125" customFormat="1" ht="27" x14ac:dyDescent="0.35">
      <c r="A56" s="154"/>
      <c r="B56" s="154"/>
      <c r="C56" s="154"/>
      <c r="D56" s="154"/>
      <c r="E56" s="154"/>
      <c r="F56" s="154"/>
      <c r="G56" s="154"/>
      <c r="H56" s="154"/>
      <c r="I56" s="154"/>
      <c r="J56" s="154"/>
    </row>
    <row r="57" spans="1:10" s="125" customFormat="1" ht="27.75" x14ac:dyDescent="0.4">
      <c r="A57" s="156" t="s">
        <v>362</v>
      </c>
      <c r="B57" s="156"/>
      <c r="C57" s="156"/>
      <c r="D57" s="156"/>
      <c r="E57" s="156"/>
      <c r="F57" s="156"/>
      <c r="G57" s="156" t="s">
        <v>363</v>
      </c>
      <c r="H57" s="154"/>
      <c r="I57" s="154"/>
      <c r="J57" s="154"/>
    </row>
    <row r="58" spans="1:10" s="125" customFormat="1" ht="27.75" x14ac:dyDescent="0.4">
      <c r="A58" s="3166" t="s">
        <v>2</v>
      </c>
      <c r="B58" s="3168" t="s">
        <v>364</v>
      </c>
      <c r="C58" s="3169"/>
      <c r="D58" s="3168" t="s">
        <v>365</v>
      </c>
      <c r="E58" s="3169"/>
      <c r="F58" s="157"/>
      <c r="G58" s="3170" t="s">
        <v>366</v>
      </c>
      <c r="H58" s="3171"/>
      <c r="I58" s="2488" t="s">
        <v>367</v>
      </c>
      <c r="J58" s="2474"/>
    </row>
    <row r="59" spans="1:10" s="125" customFormat="1" ht="27.75" x14ac:dyDescent="0.4">
      <c r="A59" s="3167"/>
      <c r="B59" s="158" t="s">
        <v>368</v>
      </c>
      <c r="C59" s="158" t="s">
        <v>369</v>
      </c>
      <c r="D59" s="158" t="s">
        <v>370</v>
      </c>
      <c r="E59" s="158" t="s">
        <v>371</v>
      </c>
      <c r="F59" s="159"/>
      <c r="G59" s="3172"/>
      <c r="H59" s="3173"/>
      <c r="I59" s="3131"/>
      <c r="J59" s="3132"/>
    </row>
    <row r="60" spans="1:10" s="125" customFormat="1" ht="27.75" x14ac:dyDescent="0.35">
      <c r="A60" s="160" t="s">
        <v>16</v>
      </c>
      <c r="B60" s="161">
        <v>1210</v>
      </c>
      <c r="C60" s="161">
        <v>1150</v>
      </c>
      <c r="D60" s="161">
        <v>0.5</v>
      </c>
      <c r="E60" s="161">
        <v>6.5</v>
      </c>
      <c r="F60" s="159"/>
      <c r="G60" s="3144" t="s">
        <v>372</v>
      </c>
      <c r="H60" s="3145"/>
      <c r="I60" s="3127" t="s">
        <v>373</v>
      </c>
      <c r="J60" s="3128"/>
    </row>
    <row r="61" spans="1:10" s="125" customFormat="1" ht="27" x14ac:dyDescent="0.35">
      <c r="A61" s="160" t="s">
        <v>1696</v>
      </c>
      <c r="B61" s="161">
        <v>1180</v>
      </c>
      <c r="C61" s="161">
        <v>1085</v>
      </c>
      <c r="D61" s="161">
        <v>0.5</v>
      </c>
      <c r="E61" s="161">
        <v>6.5</v>
      </c>
      <c r="F61" s="162"/>
      <c r="G61" s="3146" t="s">
        <v>374</v>
      </c>
      <c r="H61" s="3147"/>
      <c r="I61" s="3129" t="s">
        <v>375</v>
      </c>
      <c r="J61" s="3130"/>
    </row>
    <row r="62" spans="1:10" s="125" customFormat="1" ht="27" x14ac:dyDescent="0.35">
      <c r="A62" s="160" t="s">
        <v>78</v>
      </c>
      <c r="B62" s="161">
        <v>1180</v>
      </c>
      <c r="C62" s="161">
        <v>1100</v>
      </c>
      <c r="D62" s="161">
        <v>0.5</v>
      </c>
      <c r="E62" s="161">
        <v>6.5</v>
      </c>
      <c r="F62" s="162"/>
      <c r="G62" s="3133" t="s">
        <v>376</v>
      </c>
      <c r="H62" s="3134"/>
      <c r="I62" s="3123">
        <v>8017</v>
      </c>
      <c r="J62" s="3124"/>
    </row>
    <row r="63" spans="1:10" s="125" customFormat="1" ht="27" x14ac:dyDescent="0.35">
      <c r="A63" s="160" t="s">
        <v>19</v>
      </c>
      <c r="B63" s="161">
        <v>1188</v>
      </c>
      <c r="C63" s="161">
        <v>1120</v>
      </c>
      <c r="D63" s="161">
        <v>0.5</v>
      </c>
      <c r="E63" s="161">
        <v>6.5</v>
      </c>
      <c r="F63" s="162"/>
      <c r="G63" s="3133" t="s">
        <v>2107</v>
      </c>
      <c r="H63" s="3134"/>
      <c r="I63" s="3123">
        <v>1015</v>
      </c>
      <c r="J63" s="3124"/>
    </row>
    <row r="64" spans="1:10" s="125" customFormat="1" ht="27" x14ac:dyDescent="0.35">
      <c r="A64" s="160" t="s">
        <v>2351</v>
      </c>
      <c r="B64" s="170">
        <v>356.7</v>
      </c>
      <c r="C64" s="161">
        <v>325</v>
      </c>
      <c r="D64" s="161">
        <v>0.2</v>
      </c>
      <c r="E64" s="161">
        <v>6</v>
      </c>
      <c r="F64" s="162"/>
      <c r="G64" s="3133" t="s">
        <v>2108</v>
      </c>
      <c r="H64" s="3134"/>
      <c r="I64" s="3123" t="s">
        <v>2109</v>
      </c>
      <c r="J64" s="3124"/>
    </row>
    <row r="65" spans="1:10" s="125" customFormat="1" ht="27" x14ac:dyDescent="0.35">
      <c r="A65" s="163" t="s">
        <v>79</v>
      </c>
      <c r="B65" s="161">
        <v>625</v>
      </c>
      <c r="C65" s="161">
        <v>550</v>
      </c>
      <c r="D65" s="161">
        <v>0.8</v>
      </c>
      <c r="E65" s="161">
        <v>9</v>
      </c>
      <c r="F65" s="162"/>
      <c r="G65" s="3133" t="s">
        <v>377</v>
      </c>
      <c r="H65" s="3134"/>
      <c r="I65" s="3123">
        <v>8017</v>
      </c>
      <c r="J65" s="3124"/>
    </row>
    <row r="66" spans="1:10" s="125" customFormat="1" ht="27" customHeight="1" x14ac:dyDescent="0.35">
      <c r="A66" s="163" t="s">
        <v>80</v>
      </c>
      <c r="B66" s="161">
        <v>542</v>
      </c>
      <c r="C66" s="161">
        <v>510</v>
      </c>
      <c r="D66" s="161">
        <v>0.8</v>
      </c>
      <c r="E66" s="161">
        <v>9</v>
      </c>
      <c r="F66" s="162"/>
      <c r="G66" s="3160" t="s">
        <v>378</v>
      </c>
      <c r="H66" s="3161"/>
      <c r="I66" s="3125" t="s">
        <v>375</v>
      </c>
      <c r="J66" s="3126"/>
    </row>
    <row r="67" spans="1:10" s="125" customFormat="1" ht="27" x14ac:dyDescent="0.35">
      <c r="A67" s="160" t="s">
        <v>81</v>
      </c>
      <c r="B67" s="161">
        <v>1200</v>
      </c>
      <c r="C67" s="161">
        <v>1160</v>
      </c>
      <c r="D67" s="161">
        <v>0.5</v>
      </c>
      <c r="E67" s="161">
        <v>8</v>
      </c>
      <c r="F67" s="162"/>
      <c r="G67" s="3164" t="s">
        <v>2114</v>
      </c>
      <c r="H67" s="3165"/>
      <c r="I67" s="3127" t="s">
        <v>2115</v>
      </c>
      <c r="J67" s="3128"/>
    </row>
    <row r="68" spans="1:10" s="125" customFormat="1" ht="26.25" customHeight="1" x14ac:dyDescent="0.35">
      <c r="A68" s="160" t="s">
        <v>82</v>
      </c>
      <c r="B68" s="161">
        <v>1180</v>
      </c>
      <c r="C68" s="161">
        <v>1150</v>
      </c>
      <c r="D68" s="161">
        <v>0.5</v>
      </c>
      <c r="E68" s="161">
        <v>8</v>
      </c>
      <c r="F68" s="162"/>
      <c r="G68" s="3146" t="s">
        <v>379</v>
      </c>
      <c r="H68" s="3147"/>
      <c r="I68" s="3129" t="s">
        <v>373</v>
      </c>
      <c r="J68" s="3130"/>
    </row>
    <row r="69" spans="1:10" s="125" customFormat="1" ht="27" customHeight="1" x14ac:dyDescent="0.35">
      <c r="A69" s="160" t="s">
        <v>380</v>
      </c>
      <c r="B69" s="161">
        <v>1180</v>
      </c>
      <c r="C69" s="161">
        <v>1150</v>
      </c>
      <c r="D69" s="3127" t="s">
        <v>381</v>
      </c>
      <c r="E69" s="3128"/>
      <c r="F69" s="162"/>
      <c r="G69" s="3162" t="s">
        <v>382</v>
      </c>
      <c r="H69" s="3163"/>
      <c r="I69" s="3123">
        <v>8017</v>
      </c>
      <c r="J69" s="3124"/>
    </row>
    <row r="70" spans="1:10" s="125" customFormat="1" ht="27" customHeight="1" x14ac:dyDescent="0.35">
      <c r="A70" s="160" t="s">
        <v>84</v>
      </c>
      <c r="B70" s="161">
        <v>1150</v>
      </c>
      <c r="C70" s="161">
        <v>1110</v>
      </c>
      <c r="D70" s="161">
        <v>0.5</v>
      </c>
      <c r="E70" s="161">
        <v>8</v>
      </c>
      <c r="F70" s="162"/>
      <c r="G70" s="3162" t="s">
        <v>383</v>
      </c>
      <c r="H70" s="3163"/>
      <c r="I70" s="3123">
        <v>5005</v>
      </c>
      <c r="J70" s="3124"/>
    </row>
    <row r="71" spans="1:10" s="125" customFormat="1" ht="27" customHeight="1" x14ac:dyDescent="0.35">
      <c r="A71" s="160" t="s">
        <v>85</v>
      </c>
      <c r="B71" s="161">
        <v>1051</v>
      </c>
      <c r="C71" s="161">
        <v>1000</v>
      </c>
      <c r="D71" s="161">
        <v>0.5</v>
      </c>
      <c r="E71" s="161">
        <v>12</v>
      </c>
      <c r="F71" s="162"/>
      <c r="G71" s="3162" t="s">
        <v>384</v>
      </c>
      <c r="H71" s="3163"/>
      <c r="I71" s="3123">
        <v>3005</v>
      </c>
      <c r="J71" s="3124"/>
    </row>
    <row r="72" spans="1:10" s="125" customFormat="1" ht="27" customHeight="1" x14ac:dyDescent="0.35">
      <c r="A72" s="160" t="s">
        <v>86</v>
      </c>
      <c r="B72" s="161">
        <v>1060</v>
      </c>
      <c r="C72" s="161">
        <v>1000</v>
      </c>
      <c r="D72" s="161">
        <v>0.5</v>
      </c>
      <c r="E72" s="161">
        <v>12</v>
      </c>
      <c r="F72" s="162"/>
      <c r="G72" s="3162" t="s">
        <v>385</v>
      </c>
      <c r="H72" s="3163"/>
      <c r="I72" s="3123">
        <v>7024</v>
      </c>
      <c r="J72" s="3124"/>
    </row>
    <row r="73" spans="1:10" s="125" customFormat="1" ht="27" customHeight="1" x14ac:dyDescent="0.35">
      <c r="A73" s="160" t="s">
        <v>88</v>
      </c>
      <c r="B73" s="161">
        <v>902</v>
      </c>
      <c r="C73" s="161">
        <v>845</v>
      </c>
      <c r="D73" s="161">
        <v>0.5</v>
      </c>
      <c r="E73" s="161">
        <v>12</v>
      </c>
      <c r="F73" s="162"/>
      <c r="G73" s="3199" t="s">
        <v>386</v>
      </c>
      <c r="H73" s="3200"/>
      <c r="I73" s="3125" t="s">
        <v>387</v>
      </c>
      <c r="J73" s="3126"/>
    </row>
    <row r="74" spans="1:10" s="125" customFormat="1" ht="27" customHeight="1" x14ac:dyDescent="0.35">
      <c r="A74" s="160" t="s">
        <v>89</v>
      </c>
      <c r="B74" s="161">
        <v>800</v>
      </c>
      <c r="C74" s="161">
        <v>750</v>
      </c>
      <c r="D74" s="161">
        <v>0.5</v>
      </c>
      <c r="E74" s="161">
        <v>12</v>
      </c>
      <c r="F74" s="162"/>
      <c r="G74" s="3144" t="s">
        <v>388</v>
      </c>
      <c r="H74" s="3145"/>
      <c r="I74" s="3127">
        <v>5009</v>
      </c>
      <c r="J74" s="3128"/>
    </row>
    <row r="75" spans="1:10" s="125" customFormat="1" ht="27" customHeight="1" x14ac:dyDescent="0.35">
      <c r="A75" s="160" t="s">
        <v>389</v>
      </c>
      <c r="B75" s="161" t="s">
        <v>31</v>
      </c>
      <c r="C75" s="161" t="s">
        <v>87</v>
      </c>
      <c r="D75" s="161" t="s">
        <v>390</v>
      </c>
      <c r="E75" s="161">
        <v>400</v>
      </c>
      <c r="F75" s="162"/>
    </row>
    <row r="76" spans="1:10" s="125" customFormat="1" ht="27" customHeight="1" x14ac:dyDescent="0.35">
      <c r="A76" s="160" t="s">
        <v>391</v>
      </c>
      <c r="B76" s="161" t="s">
        <v>31</v>
      </c>
      <c r="C76" s="161" t="s">
        <v>87</v>
      </c>
      <c r="D76" s="161" t="s">
        <v>390</v>
      </c>
      <c r="E76" s="161" t="s">
        <v>2110</v>
      </c>
      <c r="F76" s="162"/>
    </row>
    <row r="77" spans="1:10" s="125" customFormat="1" ht="27" customHeight="1" x14ac:dyDescent="0.4">
      <c r="A77" s="160" t="s">
        <v>32</v>
      </c>
      <c r="B77" s="161">
        <v>1250</v>
      </c>
      <c r="C77" s="161" t="s">
        <v>87</v>
      </c>
      <c r="D77" s="161">
        <v>0.5</v>
      </c>
      <c r="E77" s="161">
        <v>4.5</v>
      </c>
      <c r="F77" s="162"/>
      <c r="G77" s="3201" t="s">
        <v>2232</v>
      </c>
      <c r="H77" s="3201"/>
      <c r="I77" s="3201"/>
      <c r="J77" s="3201"/>
    </row>
    <row r="78" spans="1:10" s="125" customFormat="1" ht="27" customHeight="1" x14ac:dyDescent="0.35">
      <c r="A78" s="160" t="s">
        <v>39</v>
      </c>
      <c r="B78" s="161">
        <v>100</v>
      </c>
      <c r="C78" s="161" t="s">
        <v>17</v>
      </c>
      <c r="D78" s="161">
        <v>0.5</v>
      </c>
      <c r="E78" s="161">
        <v>2.5</v>
      </c>
      <c r="F78" s="162"/>
      <c r="G78" s="3164" t="s">
        <v>374</v>
      </c>
      <c r="H78" s="3165"/>
      <c r="I78" s="3154" t="s">
        <v>2239</v>
      </c>
      <c r="J78" s="3155"/>
    </row>
    <row r="79" spans="1:10" s="125" customFormat="1" ht="27" customHeight="1" x14ac:dyDescent="0.35">
      <c r="A79" s="160" t="s">
        <v>40</v>
      </c>
      <c r="B79" s="161">
        <v>100</v>
      </c>
      <c r="C79" s="161" t="s">
        <v>17</v>
      </c>
      <c r="D79" s="161">
        <v>0.5</v>
      </c>
      <c r="E79" s="161">
        <v>2.5</v>
      </c>
      <c r="G79" s="3197" t="s">
        <v>376</v>
      </c>
      <c r="H79" s="3198"/>
      <c r="I79" s="3127" t="s">
        <v>2235</v>
      </c>
      <c r="J79" s="3128"/>
    </row>
    <row r="80" spans="1:10" s="125" customFormat="1" ht="27" customHeight="1" x14ac:dyDescent="0.35">
      <c r="A80" s="160" t="s">
        <v>392</v>
      </c>
      <c r="B80" s="161">
        <v>128</v>
      </c>
      <c r="C80" s="161" t="s">
        <v>17</v>
      </c>
      <c r="D80" s="161">
        <v>0.5</v>
      </c>
      <c r="E80" s="161">
        <v>2.5</v>
      </c>
      <c r="G80" s="3197" t="s">
        <v>2108</v>
      </c>
      <c r="H80" s="3198"/>
      <c r="I80" s="3154" t="s">
        <v>2237</v>
      </c>
      <c r="J80" s="3155"/>
    </row>
    <row r="81" spans="1:17" s="125" customFormat="1" ht="27" customHeight="1" x14ac:dyDescent="0.35">
      <c r="A81" s="160" t="s">
        <v>393</v>
      </c>
      <c r="B81" s="161">
        <v>118</v>
      </c>
      <c r="C81" s="161" t="s">
        <v>17</v>
      </c>
      <c r="D81" s="161">
        <v>0.5</v>
      </c>
      <c r="E81" s="161">
        <v>2.5</v>
      </c>
      <c r="F81" s="167"/>
      <c r="G81" s="3197" t="s">
        <v>2107</v>
      </c>
      <c r="H81" s="3198"/>
      <c r="I81" s="3154" t="s">
        <v>2233</v>
      </c>
      <c r="J81" s="3155"/>
    </row>
    <row r="82" spans="1:17" s="125" customFormat="1" ht="27" customHeight="1" x14ac:dyDescent="0.35">
      <c r="A82" s="160" t="s">
        <v>394</v>
      </c>
      <c r="B82" s="161">
        <v>265</v>
      </c>
      <c r="C82" s="161">
        <v>240</v>
      </c>
      <c r="D82" s="161">
        <v>0.5</v>
      </c>
      <c r="E82" s="161">
        <v>6</v>
      </c>
      <c r="F82" s="167"/>
      <c r="G82" s="3197" t="s">
        <v>372</v>
      </c>
      <c r="H82" s="3198"/>
      <c r="I82" s="3154" t="s">
        <v>2236</v>
      </c>
      <c r="J82" s="3155"/>
    </row>
    <row r="83" spans="1:17" s="125" customFormat="1" ht="27" customHeight="1" x14ac:dyDescent="0.35">
      <c r="A83" s="160" t="s">
        <v>395</v>
      </c>
      <c r="B83" s="161">
        <v>200</v>
      </c>
      <c r="C83" s="170">
        <v>176</v>
      </c>
      <c r="D83" s="161">
        <v>0.5</v>
      </c>
      <c r="E83" s="161">
        <v>6</v>
      </c>
      <c r="F83" s="167"/>
      <c r="G83" s="3195" t="s">
        <v>379</v>
      </c>
      <c r="H83" s="3196"/>
      <c r="I83" s="3154" t="s">
        <v>110</v>
      </c>
      <c r="J83" s="3155"/>
    </row>
    <row r="84" spans="1:17" s="125" customFormat="1" ht="27" customHeight="1" x14ac:dyDescent="0.35">
      <c r="A84" s="160" t="s">
        <v>396</v>
      </c>
      <c r="B84" s="161">
        <v>345</v>
      </c>
      <c r="C84" s="170">
        <v>320</v>
      </c>
      <c r="D84" s="161">
        <v>0.5</v>
      </c>
      <c r="E84" s="161">
        <v>6</v>
      </c>
      <c r="F84" s="167"/>
      <c r="G84" s="3197" t="s">
        <v>384</v>
      </c>
      <c r="H84" s="3198"/>
      <c r="I84" s="3154" t="s">
        <v>2238</v>
      </c>
      <c r="J84" s="3155"/>
    </row>
    <row r="85" spans="1:17" s="125" customFormat="1" ht="27" customHeight="1" x14ac:dyDescent="0.35">
      <c r="A85" s="160" t="s">
        <v>397</v>
      </c>
      <c r="B85" s="161">
        <v>390</v>
      </c>
      <c r="C85" s="170">
        <v>360</v>
      </c>
      <c r="D85" s="161">
        <v>0.5</v>
      </c>
      <c r="E85" s="161">
        <v>6</v>
      </c>
      <c r="G85" s="3195" t="s">
        <v>378</v>
      </c>
      <c r="H85" s="3196"/>
      <c r="I85" s="3154" t="s">
        <v>2231</v>
      </c>
      <c r="J85" s="3155"/>
    </row>
    <row r="86" spans="1:17" s="125" customFormat="1" ht="27" customHeight="1" x14ac:dyDescent="0.35">
      <c r="A86" s="125" t="s">
        <v>2234</v>
      </c>
      <c r="G86" s="168" t="s">
        <v>2240</v>
      </c>
      <c r="H86" s="168"/>
      <c r="I86" s="168"/>
      <c r="J86" s="169"/>
    </row>
    <row r="87" spans="1:17" s="125" customFormat="1" ht="27" customHeight="1" x14ac:dyDescent="0.35">
      <c r="G87" s="168"/>
      <c r="H87" s="168"/>
      <c r="I87" s="168"/>
      <c r="J87" s="169"/>
    </row>
    <row r="88" spans="1:17" s="125" customFormat="1" ht="27" customHeight="1" x14ac:dyDescent="0.35">
      <c r="A88" s="898" t="s">
        <v>2259</v>
      </c>
      <c r="F88" s="171"/>
      <c r="G88" s="165"/>
      <c r="H88" s="165"/>
      <c r="I88" s="165"/>
      <c r="J88" s="166"/>
    </row>
    <row r="89" spans="1:17" s="125" customFormat="1" ht="27" x14ac:dyDescent="0.35">
      <c r="A89" s="172"/>
      <c r="F89" s="154"/>
      <c r="H89" s="154"/>
      <c r="I89" s="154"/>
      <c r="J89" s="154"/>
    </row>
    <row r="90" spans="1:17" s="125" customFormat="1" ht="27" x14ac:dyDescent="0.35">
      <c r="B90" s="154"/>
      <c r="C90" s="154"/>
      <c r="D90" s="154"/>
      <c r="E90" s="154"/>
      <c r="F90" s="154"/>
      <c r="G90" s="164"/>
      <c r="H90" s="154"/>
      <c r="I90" s="154"/>
      <c r="J90" s="154"/>
    </row>
    <row r="91" spans="1:17" s="154" customFormat="1" ht="27" x14ac:dyDescent="0.35">
      <c r="F91" s="125"/>
      <c r="G91" s="125"/>
      <c r="H91" s="125"/>
      <c r="I91" s="125"/>
      <c r="J91" s="125"/>
      <c r="K91" s="125"/>
      <c r="L91" s="125"/>
      <c r="M91" s="125"/>
      <c r="N91" s="125"/>
      <c r="O91" s="125"/>
      <c r="P91" s="173"/>
      <c r="Q91" s="173"/>
    </row>
    <row r="92" spans="1:17" s="154" customFormat="1" ht="41.25" customHeight="1" x14ac:dyDescent="0.35">
      <c r="A92" s="125"/>
      <c r="B92" s="125"/>
      <c r="C92" s="125"/>
      <c r="D92" s="125"/>
      <c r="E92" s="125"/>
      <c r="F92" s="174"/>
      <c r="G92" s="125"/>
      <c r="H92" s="125"/>
      <c r="I92" s="125"/>
      <c r="J92" s="125"/>
      <c r="K92" s="172"/>
      <c r="L92" s="172"/>
      <c r="M92" s="172"/>
      <c r="N92" s="172"/>
      <c r="O92" s="172"/>
      <c r="P92" s="173"/>
      <c r="Q92" s="173"/>
    </row>
    <row r="93" spans="1:17" s="154" customFormat="1" ht="40.5" customHeight="1" x14ac:dyDescent="0.35">
      <c r="A93" s="3157" t="s">
        <v>66</v>
      </c>
      <c r="B93" s="3157"/>
      <c r="C93" s="3158" t="s">
        <v>291</v>
      </c>
      <c r="D93" s="3158"/>
      <c r="E93" s="174"/>
      <c r="F93" s="175"/>
      <c r="G93" s="125"/>
      <c r="H93" s="125"/>
      <c r="I93" s="125"/>
      <c r="J93" s="125"/>
      <c r="K93" s="173"/>
      <c r="L93" s="173"/>
      <c r="M93" s="173"/>
      <c r="N93" s="173"/>
      <c r="O93" s="173"/>
    </row>
    <row r="94" spans="1:17" s="125" customFormat="1" ht="27" x14ac:dyDescent="0.35">
      <c r="A94" s="3157"/>
      <c r="B94" s="3157"/>
      <c r="C94" s="3159">
        <v>0</v>
      </c>
      <c r="D94" s="3159"/>
      <c r="E94" s="175"/>
    </row>
    <row r="95" spans="1:17" s="125" customFormat="1" ht="27" x14ac:dyDescent="0.35"/>
    <row r="96" spans="1:17" s="125" customFormat="1" ht="27" x14ac:dyDescent="0.35"/>
    <row r="97" spans="1:5" ht="27" x14ac:dyDescent="0.35">
      <c r="A97" s="125"/>
      <c r="B97" s="125"/>
      <c r="C97" s="125"/>
      <c r="D97" s="125"/>
      <c r="E97" s="125"/>
    </row>
  </sheetData>
  <sheetProtection formatCells="0" formatColumns="0" formatRows="0" insertColumns="0" insertRows="0" insertHyperlinks="0" deleteColumns="0" deleteRows="0" sort="0" autoFilter="0" pivotTables="0"/>
  <mergeCells count="104">
    <mergeCell ref="B15:G15"/>
    <mergeCell ref="A9:O9"/>
    <mergeCell ref="B11:G11"/>
    <mergeCell ref="A12:J12"/>
    <mergeCell ref="B13:G13"/>
    <mergeCell ref="B14:G14"/>
    <mergeCell ref="G85:H85"/>
    <mergeCell ref="G83:H83"/>
    <mergeCell ref="G84:H84"/>
    <mergeCell ref="G70:H70"/>
    <mergeCell ref="G71:H71"/>
    <mergeCell ref="G72:H72"/>
    <mergeCell ref="G73:H73"/>
    <mergeCell ref="G74:H74"/>
    <mergeCell ref="G78:H78"/>
    <mergeCell ref="G77:J77"/>
    <mergeCell ref="G79:H79"/>
    <mergeCell ref="G80:H80"/>
    <mergeCell ref="G81:H81"/>
    <mergeCell ref="G82:H82"/>
    <mergeCell ref="I70:J70"/>
    <mergeCell ref="A29:J29"/>
    <mergeCell ref="B16:G16"/>
    <mergeCell ref="A19:J19"/>
    <mergeCell ref="B20:G20"/>
    <mergeCell ref="B21:G21"/>
    <mergeCell ref="B22:G22"/>
    <mergeCell ref="B23:G23"/>
    <mergeCell ref="B24:G24"/>
    <mergeCell ref="B25:G25"/>
    <mergeCell ref="B26:G26"/>
    <mergeCell ref="B18:G18"/>
    <mergeCell ref="A27:J27"/>
    <mergeCell ref="I23:I24"/>
    <mergeCell ref="H23:H24"/>
    <mergeCell ref="B34:G34"/>
    <mergeCell ref="B35:G35"/>
    <mergeCell ref="B36:G36"/>
    <mergeCell ref="B37:G37"/>
    <mergeCell ref="A38:J38"/>
    <mergeCell ref="B39:G39"/>
    <mergeCell ref="B40:G40"/>
    <mergeCell ref="B42:G42"/>
    <mergeCell ref="B43:G43"/>
    <mergeCell ref="A1:S8"/>
    <mergeCell ref="A93:B94"/>
    <mergeCell ref="C93:D93"/>
    <mergeCell ref="C94:D94"/>
    <mergeCell ref="G62:H62"/>
    <mergeCell ref="G63:H63"/>
    <mergeCell ref="G66:H66"/>
    <mergeCell ref="D69:E69"/>
    <mergeCell ref="G69:H69"/>
    <mergeCell ref="G67:H67"/>
    <mergeCell ref="G65:H65"/>
    <mergeCell ref="G68:H68"/>
    <mergeCell ref="B48:G48"/>
    <mergeCell ref="A58:A59"/>
    <mergeCell ref="B58:C58"/>
    <mergeCell ref="D58:E58"/>
    <mergeCell ref="G58:H59"/>
    <mergeCell ref="A50:F50"/>
    <mergeCell ref="A51:F51"/>
    <mergeCell ref="A52:F52"/>
    <mergeCell ref="A53:F53"/>
    <mergeCell ref="A54:F54"/>
    <mergeCell ref="A55:F55"/>
    <mergeCell ref="A17:J17"/>
    <mergeCell ref="I83:J83"/>
    <mergeCell ref="I84:J84"/>
    <mergeCell ref="I85:J85"/>
    <mergeCell ref="I78:J78"/>
    <mergeCell ref="I79:J79"/>
    <mergeCell ref="I80:J80"/>
    <mergeCell ref="I81:J81"/>
    <mergeCell ref="I82:J82"/>
    <mergeCell ref="I71:J71"/>
    <mergeCell ref="I72:J72"/>
    <mergeCell ref="I73:J73"/>
    <mergeCell ref="I74:J74"/>
    <mergeCell ref="B28:G28"/>
    <mergeCell ref="I65:J65"/>
    <mergeCell ref="I66:J66"/>
    <mergeCell ref="I67:J67"/>
    <mergeCell ref="I68:J68"/>
    <mergeCell ref="I69:J69"/>
    <mergeCell ref="I58:J59"/>
    <mergeCell ref="I60:J60"/>
    <mergeCell ref="I61:J61"/>
    <mergeCell ref="I62:J62"/>
    <mergeCell ref="G64:H64"/>
    <mergeCell ref="I64:J64"/>
    <mergeCell ref="A44:J44"/>
    <mergeCell ref="B45:G45"/>
    <mergeCell ref="B46:G46"/>
    <mergeCell ref="A47:J47"/>
    <mergeCell ref="G60:H60"/>
    <mergeCell ref="I63:J63"/>
    <mergeCell ref="G61:H61"/>
    <mergeCell ref="B41:G41"/>
    <mergeCell ref="B30:G30"/>
    <mergeCell ref="B31:G31"/>
    <mergeCell ref="B32:G32"/>
    <mergeCell ref="A33:J33"/>
  </mergeCells>
  <printOptions horizontalCentered="1"/>
  <pageMargins left="0" right="0" top="0" bottom="0" header="0" footer="0"/>
  <pageSetup paperSize="9" scale="23" orientation="landscape" r:id="rId1"/>
  <headerFooter>
    <oddFooter>&amp;R&amp;24Стр. &amp;P из  &amp;N
&amp;A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H94"/>
  <sheetViews>
    <sheetView zoomScaleNormal="100" workbookViewId="0">
      <selection sqref="A1:F5"/>
    </sheetView>
  </sheetViews>
  <sheetFormatPr defaultRowHeight="12.75" x14ac:dyDescent="0.2"/>
  <cols>
    <col min="1" max="1" width="5.140625" style="960" customWidth="1"/>
    <col min="2" max="2" width="48.42578125" style="960" customWidth="1"/>
    <col min="3" max="3" width="10.5703125" style="960" customWidth="1"/>
    <col min="4" max="4" width="59" style="960" customWidth="1"/>
    <col min="5" max="6" width="11.7109375" style="1651" customWidth="1"/>
    <col min="7" max="255" width="9.140625" style="960"/>
    <col min="256" max="256" width="5.140625" style="960" customWidth="1"/>
    <col min="257" max="257" width="44.5703125" style="960" customWidth="1"/>
    <col min="258" max="258" width="14.28515625" style="960" customWidth="1"/>
    <col min="259" max="259" width="13.85546875" style="960" customWidth="1"/>
    <col min="260" max="260" width="47" style="960" customWidth="1"/>
    <col min="261" max="262" width="11.7109375" style="960" customWidth="1"/>
    <col min="263" max="511" width="9.140625" style="960"/>
    <col min="512" max="512" width="5.140625" style="960" customWidth="1"/>
    <col min="513" max="513" width="44.5703125" style="960" customWidth="1"/>
    <col min="514" max="514" width="14.28515625" style="960" customWidth="1"/>
    <col min="515" max="515" width="13.85546875" style="960" customWidth="1"/>
    <col min="516" max="516" width="47" style="960" customWidth="1"/>
    <col min="517" max="518" width="11.7109375" style="960" customWidth="1"/>
    <col min="519" max="767" width="9.140625" style="960"/>
    <col min="768" max="768" width="5.140625" style="960" customWidth="1"/>
    <col min="769" max="769" width="44.5703125" style="960" customWidth="1"/>
    <col min="770" max="770" width="14.28515625" style="960" customWidth="1"/>
    <col min="771" max="771" width="13.85546875" style="960" customWidth="1"/>
    <col min="772" max="772" width="47" style="960" customWidth="1"/>
    <col min="773" max="774" width="11.7109375" style="960" customWidth="1"/>
    <col min="775" max="1023" width="9.140625" style="960"/>
    <col min="1024" max="1024" width="5.140625" style="960" customWidth="1"/>
    <col min="1025" max="1025" width="44.5703125" style="960" customWidth="1"/>
    <col min="1026" max="1026" width="14.28515625" style="960" customWidth="1"/>
    <col min="1027" max="1027" width="13.85546875" style="960" customWidth="1"/>
    <col min="1028" max="1028" width="47" style="960" customWidth="1"/>
    <col min="1029" max="1030" width="11.7109375" style="960" customWidth="1"/>
    <col min="1031" max="1279" width="9.140625" style="960"/>
    <col min="1280" max="1280" width="5.140625" style="960" customWidth="1"/>
    <col min="1281" max="1281" width="44.5703125" style="960" customWidth="1"/>
    <col min="1282" max="1282" width="14.28515625" style="960" customWidth="1"/>
    <col min="1283" max="1283" width="13.85546875" style="960" customWidth="1"/>
    <col min="1284" max="1284" width="47" style="960" customWidth="1"/>
    <col min="1285" max="1286" width="11.7109375" style="960" customWidth="1"/>
    <col min="1287" max="1535" width="9.140625" style="960"/>
    <col min="1536" max="1536" width="5.140625" style="960" customWidth="1"/>
    <col min="1537" max="1537" width="44.5703125" style="960" customWidth="1"/>
    <col min="1538" max="1538" width="14.28515625" style="960" customWidth="1"/>
    <col min="1539" max="1539" width="13.85546875" style="960" customWidth="1"/>
    <col min="1540" max="1540" width="47" style="960" customWidth="1"/>
    <col min="1541" max="1542" width="11.7109375" style="960" customWidth="1"/>
    <col min="1543" max="1791" width="9.140625" style="960"/>
    <col min="1792" max="1792" width="5.140625" style="960" customWidth="1"/>
    <col min="1793" max="1793" width="44.5703125" style="960" customWidth="1"/>
    <col min="1794" max="1794" width="14.28515625" style="960" customWidth="1"/>
    <col min="1795" max="1795" width="13.85546875" style="960" customWidth="1"/>
    <col min="1796" max="1796" width="47" style="960" customWidth="1"/>
    <col min="1797" max="1798" width="11.7109375" style="960" customWidth="1"/>
    <col min="1799" max="2047" width="9.140625" style="960"/>
    <col min="2048" max="2048" width="5.140625" style="960" customWidth="1"/>
    <col min="2049" max="2049" width="44.5703125" style="960" customWidth="1"/>
    <col min="2050" max="2050" width="14.28515625" style="960" customWidth="1"/>
    <col min="2051" max="2051" width="13.85546875" style="960" customWidth="1"/>
    <col min="2052" max="2052" width="47" style="960" customWidth="1"/>
    <col min="2053" max="2054" width="11.7109375" style="960" customWidth="1"/>
    <col min="2055" max="2303" width="9.140625" style="960"/>
    <col min="2304" max="2304" width="5.140625" style="960" customWidth="1"/>
    <col min="2305" max="2305" width="44.5703125" style="960" customWidth="1"/>
    <col min="2306" max="2306" width="14.28515625" style="960" customWidth="1"/>
    <col min="2307" max="2307" width="13.85546875" style="960" customWidth="1"/>
    <col min="2308" max="2308" width="47" style="960" customWidth="1"/>
    <col min="2309" max="2310" width="11.7109375" style="960" customWidth="1"/>
    <col min="2311" max="2559" width="9.140625" style="960"/>
    <col min="2560" max="2560" width="5.140625" style="960" customWidth="1"/>
    <col min="2561" max="2561" width="44.5703125" style="960" customWidth="1"/>
    <col min="2562" max="2562" width="14.28515625" style="960" customWidth="1"/>
    <col min="2563" max="2563" width="13.85546875" style="960" customWidth="1"/>
    <col min="2564" max="2564" width="47" style="960" customWidth="1"/>
    <col min="2565" max="2566" width="11.7109375" style="960" customWidth="1"/>
    <col min="2567" max="2815" width="9.140625" style="960"/>
    <col min="2816" max="2816" width="5.140625" style="960" customWidth="1"/>
    <col min="2817" max="2817" width="44.5703125" style="960" customWidth="1"/>
    <col min="2818" max="2818" width="14.28515625" style="960" customWidth="1"/>
    <col min="2819" max="2819" width="13.85546875" style="960" customWidth="1"/>
    <col min="2820" max="2820" width="47" style="960" customWidth="1"/>
    <col min="2821" max="2822" width="11.7109375" style="960" customWidth="1"/>
    <col min="2823" max="3071" width="9.140625" style="960"/>
    <col min="3072" max="3072" width="5.140625" style="960" customWidth="1"/>
    <col min="3073" max="3073" width="44.5703125" style="960" customWidth="1"/>
    <col min="3074" max="3074" width="14.28515625" style="960" customWidth="1"/>
    <col min="3075" max="3075" width="13.85546875" style="960" customWidth="1"/>
    <col min="3076" max="3076" width="47" style="960" customWidth="1"/>
    <col min="3077" max="3078" width="11.7109375" style="960" customWidth="1"/>
    <col min="3079" max="3327" width="9.140625" style="960"/>
    <col min="3328" max="3328" width="5.140625" style="960" customWidth="1"/>
    <col min="3329" max="3329" width="44.5703125" style="960" customWidth="1"/>
    <col min="3330" max="3330" width="14.28515625" style="960" customWidth="1"/>
    <col min="3331" max="3331" width="13.85546875" style="960" customWidth="1"/>
    <col min="3332" max="3332" width="47" style="960" customWidth="1"/>
    <col min="3333" max="3334" width="11.7109375" style="960" customWidth="1"/>
    <col min="3335" max="3583" width="9.140625" style="960"/>
    <col min="3584" max="3584" width="5.140625" style="960" customWidth="1"/>
    <col min="3585" max="3585" width="44.5703125" style="960" customWidth="1"/>
    <col min="3586" max="3586" width="14.28515625" style="960" customWidth="1"/>
    <col min="3587" max="3587" width="13.85546875" style="960" customWidth="1"/>
    <col min="3588" max="3588" width="47" style="960" customWidth="1"/>
    <col min="3589" max="3590" width="11.7109375" style="960" customWidth="1"/>
    <col min="3591" max="3839" width="9.140625" style="960"/>
    <col min="3840" max="3840" width="5.140625" style="960" customWidth="1"/>
    <col min="3841" max="3841" width="44.5703125" style="960" customWidth="1"/>
    <col min="3842" max="3842" width="14.28515625" style="960" customWidth="1"/>
    <col min="3843" max="3843" width="13.85546875" style="960" customWidth="1"/>
    <col min="3844" max="3844" width="47" style="960" customWidth="1"/>
    <col min="3845" max="3846" width="11.7109375" style="960" customWidth="1"/>
    <col min="3847" max="4095" width="9.140625" style="960"/>
    <col min="4096" max="4096" width="5.140625" style="960" customWidth="1"/>
    <col min="4097" max="4097" width="44.5703125" style="960" customWidth="1"/>
    <col min="4098" max="4098" width="14.28515625" style="960" customWidth="1"/>
    <col min="4099" max="4099" width="13.85546875" style="960" customWidth="1"/>
    <col min="4100" max="4100" width="47" style="960" customWidth="1"/>
    <col min="4101" max="4102" width="11.7109375" style="960" customWidth="1"/>
    <col min="4103" max="4351" width="9.140625" style="960"/>
    <col min="4352" max="4352" width="5.140625" style="960" customWidth="1"/>
    <col min="4353" max="4353" width="44.5703125" style="960" customWidth="1"/>
    <col min="4354" max="4354" width="14.28515625" style="960" customWidth="1"/>
    <col min="4355" max="4355" width="13.85546875" style="960" customWidth="1"/>
    <col min="4356" max="4356" width="47" style="960" customWidth="1"/>
    <col min="4357" max="4358" width="11.7109375" style="960" customWidth="1"/>
    <col min="4359" max="4607" width="9.140625" style="960"/>
    <col min="4608" max="4608" width="5.140625" style="960" customWidth="1"/>
    <col min="4609" max="4609" width="44.5703125" style="960" customWidth="1"/>
    <col min="4610" max="4610" width="14.28515625" style="960" customWidth="1"/>
    <col min="4611" max="4611" width="13.85546875" style="960" customWidth="1"/>
    <col min="4612" max="4612" width="47" style="960" customWidth="1"/>
    <col min="4613" max="4614" width="11.7109375" style="960" customWidth="1"/>
    <col min="4615" max="4863" width="9.140625" style="960"/>
    <col min="4864" max="4864" width="5.140625" style="960" customWidth="1"/>
    <col min="4865" max="4865" width="44.5703125" style="960" customWidth="1"/>
    <col min="4866" max="4866" width="14.28515625" style="960" customWidth="1"/>
    <col min="4867" max="4867" width="13.85546875" style="960" customWidth="1"/>
    <col min="4868" max="4868" width="47" style="960" customWidth="1"/>
    <col min="4869" max="4870" width="11.7109375" style="960" customWidth="1"/>
    <col min="4871" max="5119" width="9.140625" style="960"/>
    <col min="5120" max="5120" width="5.140625" style="960" customWidth="1"/>
    <col min="5121" max="5121" width="44.5703125" style="960" customWidth="1"/>
    <col min="5122" max="5122" width="14.28515625" style="960" customWidth="1"/>
    <col min="5123" max="5123" width="13.85546875" style="960" customWidth="1"/>
    <col min="5124" max="5124" width="47" style="960" customWidth="1"/>
    <col min="5125" max="5126" width="11.7109375" style="960" customWidth="1"/>
    <col min="5127" max="5375" width="9.140625" style="960"/>
    <col min="5376" max="5376" width="5.140625" style="960" customWidth="1"/>
    <col min="5377" max="5377" width="44.5703125" style="960" customWidth="1"/>
    <col min="5378" max="5378" width="14.28515625" style="960" customWidth="1"/>
    <col min="5379" max="5379" width="13.85546875" style="960" customWidth="1"/>
    <col min="5380" max="5380" width="47" style="960" customWidth="1"/>
    <col min="5381" max="5382" width="11.7109375" style="960" customWidth="1"/>
    <col min="5383" max="5631" width="9.140625" style="960"/>
    <col min="5632" max="5632" width="5.140625" style="960" customWidth="1"/>
    <col min="5633" max="5633" width="44.5703125" style="960" customWidth="1"/>
    <col min="5634" max="5634" width="14.28515625" style="960" customWidth="1"/>
    <col min="5635" max="5635" width="13.85546875" style="960" customWidth="1"/>
    <col min="5636" max="5636" width="47" style="960" customWidth="1"/>
    <col min="5637" max="5638" width="11.7109375" style="960" customWidth="1"/>
    <col min="5639" max="5887" width="9.140625" style="960"/>
    <col min="5888" max="5888" width="5.140625" style="960" customWidth="1"/>
    <col min="5889" max="5889" width="44.5703125" style="960" customWidth="1"/>
    <col min="5890" max="5890" width="14.28515625" style="960" customWidth="1"/>
    <col min="5891" max="5891" width="13.85546875" style="960" customWidth="1"/>
    <col min="5892" max="5892" width="47" style="960" customWidth="1"/>
    <col min="5893" max="5894" width="11.7109375" style="960" customWidth="1"/>
    <col min="5895" max="6143" width="9.140625" style="960"/>
    <col min="6144" max="6144" width="5.140625" style="960" customWidth="1"/>
    <col min="6145" max="6145" width="44.5703125" style="960" customWidth="1"/>
    <col min="6146" max="6146" width="14.28515625" style="960" customWidth="1"/>
    <col min="6147" max="6147" width="13.85546875" style="960" customWidth="1"/>
    <col min="6148" max="6148" width="47" style="960" customWidth="1"/>
    <col min="6149" max="6150" width="11.7109375" style="960" customWidth="1"/>
    <col min="6151" max="6399" width="9.140625" style="960"/>
    <col min="6400" max="6400" width="5.140625" style="960" customWidth="1"/>
    <col min="6401" max="6401" width="44.5703125" style="960" customWidth="1"/>
    <col min="6402" max="6402" width="14.28515625" style="960" customWidth="1"/>
    <col min="6403" max="6403" width="13.85546875" style="960" customWidth="1"/>
    <col min="6404" max="6404" width="47" style="960" customWidth="1"/>
    <col min="6405" max="6406" width="11.7109375" style="960" customWidth="1"/>
    <col min="6407" max="6655" width="9.140625" style="960"/>
    <col min="6656" max="6656" width="5.140625" style="960" customWidth="1"/>
    <col min="6657" max="6657" width="44.5703125" style="960" customWidth="1"/>
    <col min="6658" max="6658" width="14.28515625" style="960" customWidth="1"/>
    <col min="6659" max="6659" width="13.85546875" style="960" customWidth="1"/>
    <col min="6660" max="6660" width="47" style="960" customWidth="1"/>
    <col min="6661" max="6662" width="11.7109375" style="960" customWidth="1"/>
    <col min="6663" max="6911" width="9.140625" style="960"/>
    <col min="6912" max="6912" width="5.140625" style="960" customWidth="1"/>
    <col min="6913" max="6913" width="44.5703125" style="960" customWidth="1"/>
    <col min="6914" max="6914" width="14.28515625" style="960" customWidth="1"/>
    <col min="6915" max="6915" width="13.85546875" style="960" customWidth="1"/>
    <col min="6916" max="6916" width="47" style="960" customWidth="1"/>
    <col min="6917" max="6918" width="11.7109375" style="960" customWidth="1"/>
    <col min="6919" max="7167" width="9.140625" style="960"/>
    <col min="7168" max="7168" width="5.140625" style="960" customWidth="1"/>
    <col min="7169" max="7169" width="44.5703125" style="960" customWidth="1"/>
    <col min="7170" max="7170" width="14.28515625" style="960" customWidth="1"/>
    <col min="7171" max="7171" width="13.85546875" style="960" customWidth="1"/>
    <col min="7172" max="7172" width="47" style="960" customWidth="1"/>
    <col min="7173" max="7174" width="11.7109375" style="960" customWidth="1"/>
    <col min="7175" max="7423" width="9.140625" style="960"/>
    <col min="7424" max="7424" width="5.140625" style="960" customWidth="1"/>
    <col min="7425" max="7425" width="44.5703125" style="960" customWidth="1"/>
    <col min="7426" max="7426" width="14.28515625" style="960" customWidth="1"/>
    <col min="7427" max="7427" width="13.85546875" style="960" customWidth="1"/>
    <col min="7428" max="7428" width="47" style="960" customWidth="1"/>
    <col min="7429" max="7430" width="11.7109375" style="960" customWidth="1"/>
    <col min="7431" max="7679" width="9.140625" style="960"/>
    <col min="7680" max="7680" width="5.140625" style="960" customWidth="1"/>
    <col min="7681" max="7681" width="44.5703125" style="960" customWidth="1"/>
    <col min="7682" max="7682" width="14.28515625" style="960" customWidth="1"/>
    <col min="7683" max="7683" width="13.85546875" style="960" customWidth="1"/>
    <col min="7684" max="7684" width="47" style="960" customWidth="1"/>
    <col min="7685" max="7686" width="11.7109375" style="960" customWidth="1"/>
    <col min="7687" max="7935" width="9.140625" style="960"/>
    <col min="7936" max="7936" width="5.140625" style="960" customWidth="1"/>
    <col min="7937" max="7937" width="44.5703125" style="960" customWidth="1"/>
    <col min="7938" max="7938" width="14.28515625" style="960" customWidth="1"/>
    <col min="7939" max="7939" width="13.85546875" style="960" customWidth="1"/>
    <col min="7940" max="7940" width="47" style="960" customWidth="1"/>
    <col min="7941" max="7942" width="11.7109375" style="960" customWidth="1"/>
    <col min="7943" max="8191" width="9.140625" style="960"/>
    <col min="8192" max="8192" width="5.140625" style="960" customWidth="1"/>
    <col min="8193" max="8193" width="44.5703125" style="960" customWidth="1"/>
    <col min="8194" max="8194" width="14.28515625" style="960" customWidth="1"/>
    <col min="8195" max="8195" width="13.85546875" style="960" customWidth="1"/>
    <col min="8196" max="8196" width="47" style="960" customWidth="1"/>
    <col min="8197" max="8198" width="11.7109375" style="960" customWidth="1"/>
    <col min="8199" max="8447" width="9.140625" style="960"/>
    <col min="8448" max="8448" width="5.140625" style="960" customWidth="1"/>
    <col min="8449" max="8449" width="44.5703125" style="960" customWidth="1"/>
    <col min="8450" max="8450" width="14.28515625" style="960" customWidth="1"/>
    <col min="8451" max="8451" width="13.85546875" style="960" customWidth="1"/>
    <col min="8452" max="8452" width="47" style="960" customWidth="1"/>
    <col min="8453" max="8454" width="11.7109375" style="960" customWidth="1"/>
    <col min="8455" max="8703" width="9.140625" style="960"/>
    <col min="8704" max="8704" width="5.140625" style="960" customWidth="1"/>
    <col min="8705" max="8705" width="44.5703125" style="960" customWidth="1"/>
    <col min="8706" max="8706" width="14.28515625" style="960" customWidth="1"/>
    <col min="8707" max="8707" width="13.85546875" style="960" customWidth="1"/>
    <col min="8708" max="8708" width="47" style="960" customWidth="1"/>
    <col min="8709" max="8710" width="11.7109375" style="960" customWidth="1"/>
    <col min="8711" max="8959" width="9.140625" style="960"/>
    <col min="8960" max="8960" width="5.140625" style="960" customWidth="1"/>
    <col min="8961" max="8961" width="44.5703125" style="960" customWidth="1"/>
    <col min="8962" max="8962" width="14.28515625" style="960" customWidth="1"/>
    <col min="8963" max="8963" width="13.85546875" style="960" customWidth="1"/>
    <col min="8964" max="8964" width="47" style="960" customWidth="1"/>
    <col min="8965" max="8966" width="11.7109375" style="960" customWidth="1"/>
    <col min="8967" max="9215" width="9.140625" style="960"/>
    <col min="9216" max="9216" width="5.140625" style="960" customWidth="1"/>
    <col min="9217" max="9217" width="44.5703125" style="960" customWidth="1"/>
    <col min="9218" max="9218" width="14.28515625" style="960" customWidth="1"/>
    <col min="9219" max="9219" width="13.85546875" style="960" customWidth="1"/>
    <col min="9220" max="9220" width="47" style="960" customWidth="1"/>
    <col min="9221" max="9222" width="11.7109375" style="960" customWidth="1"/>
    <col min="9223" max="9471" width="9.140625" style="960"/>
    <col min="9472" max="9472" width="5.140625" style="960" customWidth="1"/>
    <col min="9473" max="9473" width="44.5703125" style="960" customWidth="1"/>
    <col min="9474" max="9474" width="14.28515625" style="960" customWidth="1"/>
    <col min="9475" max="9475" width="13.85546875" style="960" customWidth="1"/>
    <col min="9476" max="9476" width="47" style="960" customWidth="1"/>
    <col min="9477" max="9478" width="11.7109375" style="960" customWidth="1"/>
    <col min="9479" max="9727" width="9.140625" style="960"/>
    <col min="9728" max="9728" width="5.140625" style="960" customWidth="1"/>
    <col min="9729" max="9729" width="44.5703125" style="960" customWidth="1"/>
    <col min="9730" max="9730" width="14.28515625" style="960" customWidth="1"/>
    <col min="9731" max="9731" width="13.85546875" style="960" customWidth="1"/>
    <col min="9732" max="9732" width="47" style="960" customWidth="1"/>
    <col min="9733" max="9734" width="11.7109375" style="960" customWidth="1"/>
    <col min="9735" max="9983" width="9.140625" style="960"/>
    <col min="9984" max="9984" width="5.140625" style="960" customWidth="1"/>
    <col min="9985" max="9985" width="44.5703125" style="960" customWidth="1"/>
    <col min="9986" max="9986" width="14.28515625" style="960" customWidth="1"/>
    <col min="9987" max="9987" width="13.85546875" style="960" customWidth="1"/>
    <col min="9988" max="9988" width="47" style="960" customWidth="1"/>
    <col min="9989" max="9990" width="11.7109375" style="960" customWidth="1"/>
    <col min="9991" max="10239" width="9.140625" style="960"/>
    <col min="10240" max="10240" width="5.140625" style="960" customWidth="1"/>
    <col min="10241" max="10241" width="44.5703125" style="960" customWidth="1"/>
    <col min="10242" max="10242" width="14.28515625" style="960" customWidth="1"/>
    <col min="10243" max="10243" width="13.85546875" style="960" customWidth="1"/>
    <col min="10244" max="10244" width="47" style="960" customWidth="1"/>
    <col min="10245" max="10246" width="11.7109375" style="960" customWidth="1"/>
    <col min="10247" max="10495" width="9.140625" style="960"/>
    <col min="10496" max="10496" width="5.140625" style="960" customWidth="1"/>
    <col min="10497" max="10497" width="44.5703125" style="960" customWidth="1"/>
    <col min="10498" max="10498" width="14.28515625" style="960" customWidth="1"/>
    <col min="10499" max="10499" width="13.85546875" style="960" customWidth="1"/>
    <col min="10500" max="10500" width="47" style="960" customWidth="1"/>
    <col min="10501" max="10502" width="11.7109375" style="960" customWidth="1"/>
    <col min="10503" max="10751" width="9.140625" style="960"/>
    <col min="10752" max="10752" width="5.140625" style="960" customWidth="1"/>
    <col min="10753" max="10753" width="44.5703125" style="960" customWidth="1"/>
    <col min="10754" max="10754" width="14.28515625" style="960" customWidth="1"/>
    <col min="10755" max="10755" width="13.85546875" style="960" customWidth="1"/>
    <col min="10756" max="10756" width="47" style="960" customWidth="1"/>
    <col min="10757" max="10758" width="11.7109375" style="960" customWidth="1"/>
    <col min="10759" max="11007" width="9.140625" style="960"/>
    <col min="11008" max="11008" width="5.140625" style="960" customWidth="1"/>
    <col min="11009" max="11009" width="44.5703125" style="960" customWidth="1"/>
    <col min="11010" max="11010" width="14.28515625" style="960" customWidth="1"/>
    <col min="11011" max="11011" width="13.85546875" style="960" customWidth="1"/>
    <col min="11012" max="11012" width="47" style="960" customWidth="1"/>
    <col min="11013" max="11014" width="11.7109375" style="960" customWidth="1"/>
    <col min="11015" max="11263" width="9.140625" style="960"/>
    <col min="11264" max="11264" width="5.140625" style="960" customWidth="1"/>
    <col min="11265" max="11265" width="44.5703125" style="960" customWidth="1"/>
    <col min="11266" max="11266" width="14.28515625" style="960" customWidth="1"/>
    <col min="11267" max="11267" width="13.85546875" style="960" customWidth="1"/>
    <col min="11268" max="11268" width="47" style="960" customWidth="1"/>
    <col min="11269" max="11270" width="11.7109375" style="960" customWidth="1"/>
    <col min="11271" max="11519" width="9.140625" style="960"/>
    <col min="11520" max="11520" width="5.140625" style="960" customWidth="1"/>
    <col min="11521" max="11521" width="44.5703125" style="960" customWidth="1"/>
    <col min="11522" max="11522" width="14.28515625" style="960" customWidth="1"/>
    <col min="11523" max="11523" width="13.85546875" style="960" customWidth="1"/>
    <col min="11524" max="11524" width="47" style="960" customWidth="1"/>
    <col min="11525" max="11526" width="11.7109375" style="960" customWidth="1"/>
    <col min="11527" max="11775" width="9.140625" style="960"/>
    <col min="11776" max="11776" width="5.140625" style="960" customWidth="1"/>
    <col min="11777" max="11777" width="44.5703125" style="960" customWidth="1"/>
    <col min="11778" max="11778" width="14.28515625" style="960" customWidth="1"/>
    <col min="11779" max="11779" width="13.85546875" style="960" customWidth="1"/>
    <col min="11780" max="11780" width="47" style="960" customWidth="1"/>
    <col min="11781" max="11782" width="11.7109375" style="960" customWidth="1"/>
    <col min="11783" max="12031" width="9.140625" style="960"/>
    <col min="12032" max="12032" width="5.140625" style="960" customWidth="1"/>
    <col min="12033" max="12033" width="44.5703125" style="960" customWidth="1"/>
    <col min="12034" max="12034" width="14.28515625" style="960" customWidth="1"/>
    <col min="12035" max="12035" width="13.85546875" style="960" customWidth="1"/>
    <col min="12036" max="12036" width="47" style="960" customWidth="1"/>
    <col min="12037" max="12038" width="11.7109375" style="960" customWidth="1"/>
    <col min="12039" max="12287" width="9.140625" style="960"/>
    <col min="12288" max="12288" width="5.140625" style="960" customWidth="1"/>
    <col min="12289" max="12289" width="44.5703125" style="960" customWidth="1"/>
    <col min="12290" max="12290" width="14.28515625" style="960" customWidth="1"/>
    <col min="12291" max="12291" width="13.85546875" style="960" customWidth="1"/>
    <col min="12292" max="12292" width="47" style="960" customWidth="1"/>
    <col min="12293" max="12294" width="11.7109375" style="960" customWidth="1"/>
    <col min="12295" max="12543" width="9.140625" style="960"/>
    <col min="12544" max="12544" width="5.140625" style="960" customWidth="1"/>
    <col min="12545" max="12545" width="44.5703125" style="960" customWidth="1"/>
    <col min="12546" max="12546" width="14.28515625" style="960" customWidth="1"/>
    <col min="12547" max="12547" width="13.85546875" style="960" customWidth="1"/>
    <col min="12548" max="12548" width="47" style="960" customWidth="1"/>
    <col min="12549" max="12550" width="11.7109375" style="960" customWidth="1"/>
    <col min="12551" max="12799" width="9.140625" style="960"/>
    <col min="12800" max="12800" width="5.140625" style="960" customWidth="1"/>
    <col min="12801" max="12801" width="44.5703125" style="960" customWidth="1"/>
    <col min="12802" max="12802" width="14.28515625" style="960" customWidth="1"/>
    <col min="12803" max="12803" width="13.85546875" style="960" customWidth="1"/>
    <col min="12804" max="12804" width="47" style="960" customWidth="1"/>
    <col min="12805" max="12806" width="11.7109375" style="960" customWidth="1"/>
    <col min="12807" max="13055" width="9.140625" style="960"/>
    <col min="13056" max="13056" width="5.140625" style="960" customWidth="1"/>
    <col min="13057" max="13057" width="44.5703125" style="960" customWidth="1"/>
    <col min="13058" max="13058" width="14.28515625" style="960" customWidth="1"/>
    <col min="13059" max="13059" width="13.85546875" style="960" customWidth="1"/>
    <col min="13060" max="13060" width="47" style="960" customWidth="1"/>
    <col min="13061" max="13062" width="11.7109375" style="960" customWidth="1"/>
    <col min="13063" max="13311" width="9.140625" style="960"/>
    <col min="13312" max="13312" width="5.140625" style="960" customWidth="1"/>
    <col min="13313" max="13313" width="44.5703125" style="960" customWidth="1"/>
    <col min="13314" max="13314" width="14.28515625" style="960" customWidth="1"/>
    <col min="13315" max="13315" width="13.85546875" style="960" customWidth="1"/>
    <col min="13316" max="13316" width="47" style="960" customWidth="1"/>
    <col min="13317" max="13318" width="11.7109375" style="960" customWidth="1"/>
    <col min="13319" max="13567" width="9.140625" style="960"/>
    <col min="13568" max="13568" width="5.140625" style="960" customWidth="1"/>
    <col min="13569" max="13569" width="44.5703125" style="960" customWidth="1"/>
    <col min="13570" max="13570" width="14.28515625" style="960" customWidth="1"/>
    <col min="13571" max="13571" width="13.85546875" style="960" customWidth="1"/>
    <col min="13572" max="13572" width="47" style="960" customWidth="1"/>
    <col min="13573" max="13574" width="11.7109375" style="960" customWidth="1"/>
    <col min="13575" max="13823" width="9.140625" style="960"/>
    <col min="13824" max="13824" width="5.140625" style="960" customWidth="1"/>
    <col min="13825" max="13825" width="44.5703125" style="960" customWidth="1"/>
    <col min="13826" max="13826" width="14.28515625" style="960" customWidth="1"/>
    <col min="13827" max="13827" width="13.85546875" style="960" customWidth="1"/>
    <col min="13828" max="13828" width="47" style="960" customWidth="1"/>
    <col min="13829" max="13830" width="11.7109375" style="960" customWidth="1"/>
    <col min="13831" max="14079" width="9.140625" style="960"/>
    <col min="14080" max="14080" width="5.140625" style="960" customWidth="1"/>
    <col min="14081" max="14081" width="44.5703125" style="960" customWidth="1"/>
    <col min="14082" max="14082" width="14.28515625" style="960" customWidth="1"/>
    <col min="14083" max="14083" width="13.85546875" style="960" customWidth="1"/>
    <col min="14084" max="14084" width="47" style="960" customWidth="1"/>
    <col min="14085" max="14086" width="11.7109375" style="960" customWidth="1"/>
    <col min="14087" max="14335" width="9.140625" style="960"/>
    <col min="14336" max="14336" width="5.140625" style="960" customWidth="1"/>
    <col min="14337" max="14337" width="44.5703125" style="960" customWidth="1"/>
    <col min="14338" max="14338" width="14.28515625" style="960" customWidth="1"/>
    <col min="14339" max="14339" width="13.85546875" style="960" customWidth="1"/>
    <col min="14340" max="14340" width="47" style="960" customWidth="1"/>
    <col min="14341" max="14342" width="11.7109375" style="960" customWidth="1"/>
    <col min="14343" max="14591" width="9.140625" style="960"/>
    <col min="14592" max="14592" width="5.140625" style="960" customWidth="1"/>
    <col min="14593" max="14593" width="44.5703125" style="960" customWidth="1"/>
    <col min="14594" max="14594" width="14.28515625" style="960" customWidth="1"/>
    <col min="14595" max="14595" width="13.85546875" style="960" customWidth="1"/>
    <col min="14596" max="14596" width="47" style="960" customWidth="1"/>
    <col min="14597" max="14598" width="11.7109375" style="960" customWidth="1"/>
    <col min="14599" max="14847" width="9.140625" style="960"/>
    <col min="14848" max="14848" width="5.140625" style="960" customWidth="1"/>
    <col min="14849" max="14849" width="44.5703125" style="960" customWidth="1"/>
    <col min="14850" max="14850" width="14.28515625" style="960" customWidth="1"/>
    <col min="14851" max="14851" width="13.85546875" style="960" customWidth="1"/>
    <col min="14852" max="14852" width="47" style="960" customWidth="1"/>
    <col min="14853" max="14854" width="11.7109375" style="960" customWidth="1"/>
    <col min="14855" max="15103" width="9.140625" style="960"/>
    <col min="15104" max="15104" width="5.140625" style="960" customWidth="1"/>
    <col min="15105" max="15105" width="44.5703125" style="960" customWidth="1"/>
    <col min="15106" max="15106" width="14.28515625" style="960" customWidth="1"/>
    <col min="15107" max="15107" width="13.85546875" style="960" customWidth="1"/>
    <col min="15108" max="15108" width="47" style="960" customWidth="1"/>
    <col min="15109" max="15110" width="11.7109375" style="960" customWidth="1"/>
    <col min="15111" max="15359" width="9.140625" style="960"/>
    <col min="15360" max="15360" width="5.140625" style="960" customWidth="1"/>
    <col min="15361" max="15361" width="44.5703125" style="960" customWidth="1"/>
    <col min="15362" max="15362" width="14.28515625" style="960" customWidth="1"/>
    <col min="15363" max="15363" width="13.85546875" style="960" customWidth="1"/>
    <col min="15364" max="15364" width="47" style="960" customWidth="1"/>
    <col min="15365" max="15366" width="11.7109375" style="960" customWidth="1"/>
    <col min="15367" max="15615" width="9.140625" style="960"/>
    <col min="15616" max="15616" width="5.140625" style="960" customWidth="1"/>
    <col min="15617" max="15617" width="44.5703125" style="960" customWidth="1"/>
    <col min="15618" max="15618" width="14.28515625" style="960" customWidth="1"/>
    <col min="15619" max="15619" width="13.85546875" style="960" customWidth="1"/>
    <col min="15620" max="15620" width="47" style="960" customWidth="1"/>
    <col min="15621" max="15622" width="11.7109375" style="960" customWidth="1"/>
    <col min="15623" max="15871" width="9.140625" style="960"/>
    <col min="15872" max="15872" width="5.140625" style="960" customWidth="1"/>
    <col min="15873" max="15873" width="44.5703125" style="960" customWidth="1"/>
    <col min="15874" max="15874" width="14.28515625" style="960" customWidth="1"/>
    <col min="15875" max="15875" width="13.85546875" style="960" customWidth="1"/>
    <col min="15876" max="15876" width="47" style="960" customWidth="1"/>
    <col min="15877" max="15878" width="11.7109375" style="960" customWidth="1"/>
    <col min="15879" max="16127" width="9.140625" style="960"/>
    <col min="16128" max="16128" width="5.140625" style="960" customWidth="1"/>
    <col min="16129" max="16129" width="44.5703125" style="960" customWidth="1"/>
    <col min="16130" max="16130" width="14.28515625" style="960" customWidth="1"/>
    <col min="16131" max="16131" width="13.85546875" style="960" customWidth="1"/>
    <col min="16132" max="16132" width="47" style="960" customWidth="1"/>
    <col min="16133" max="16134" width="11.7109375" style="960" customWidth="1"/>
    <col min="16135" max="16384" width="9.140625" style="960"/>
  </cols>
  <sheetData>
    <row r="1" spans="1:7" ht="15" customHeight="1" x14ac:dyDescent="0.2">
      <c r="A1" s="3237"/>
      <c r="B1" s="3237"/>
      <c r="C1" s="3237"/>
      <c r="D1" s="3237"/>
      <c r="E1" s="3237"/>
      <c r="F1" s="3237"/>
    </row>
    <row r="2" spans="1:7" ht="15" customHeight="1" x14ac:dyDescent="0.2">
      <c r="A2" s="3237"/>
      <c r="B2" s="3237"/>
      <c r="C2" s="3237"/>
      <c r="D2" s="3237"/>
      <c r="E2" s="3237"/>
      <c r="F2" s="3237"/>
    </row>
    <row r="3" spans="1:7" ht="15" customHeight="1" x14ac:dyDescent="0.2">
      <c r="A3" s="3237"/>
      <c r="B3" s="3237"/>
      <c r="C3" s="3237"/>
      <c r="D3" s="3237"/>
      <c r="E3" s="3237"/>
      <c r="F3" s="3237"/>
    </row>
    <row r="4" spans="1:7" ht="15" customHeight="1" x14ac:dyDescent="0.2">
      <c r="A4" s="3237"/>
      <c r="B4" s="3237"/>
      <c r="C4" s="3237"/>
      <c r="D4" s="3237"/>
      <c r="E4" s="3237"/>
      <c r="F4" s="3237"/>
    </row>
    <row r="5" spans="1:7" ht="15.75" customHeight="1" thickBot="1" x14ac:dyDescent="0.25">
      <c r="A5" s="3238"/>
      <c r="B5" s="3238"/>
      <c r="C5" s="3238"/>
      <c r="D5" s="3238"/>
      <c r="E5" s="3238"/>
      <c r="F5" s="3238"/>
    </row>
    <row r="7" spans="1:7" ht="18" x14ac:dyDescent="0.2">
      <c r="B7" s="961"/>
      <c r="C7" s="962" t="s">
        <v>409</v>
      </c>
      <c r="D7" s="961"/>
      <c r="E7" s="1644"/>
      <c r="F7" s="1645" t="s">
        <v>3220</v>
      </c>
      <c r="G7" s="963"/>
    </row>
    <row r="8" spans="1:7" ht="12.75" customHeight="1" x14ac:dyDescent="0.2">
      <c r="A8" s="3239" t="s">
        <v>410</v>
      </c>
      <c r="B8" s="3240"/>
      <c r="C8" s="3243" t="s">
        <v>400</v>
      </c>
      <c r="D8" s="3243" t="s">
        <v>293</v>
      </c>
      <c r="E8" s="3245" t="s">
        <v>411</v>
      </c>
      <c r="F8" s="3246"/>
    </row>
    <row r="9" spans="1:7" x14ac:dyDescent="0.2">
      <c r="A9" s="3241"/>
      <c r="B9" s="3242"/>
      <c r="C9" s="3244"/>
      <c r="D9" s="3244"/>
      <c r="E9" s="1646" t="s">
        <v>412</v>
      </c>
      <c r="F9" s="1646" t="s">
        <v>413</v>
      </c>
    </row>
    <row r="10" spans="1:7" x14ac:dyDescent="0.2">
      <c r="A10" s="3218" t="s">
        <v>414</v>
      </c>
      <c r="B10" s="177" t="s">
        <v>2360</v>
      </c>
      <c r="C10" s="178" t="s">
        <v>415</v>
      </c>
      <c r="D10" s="179" t="s">
        <v>3085</v>
      </c>
      <c r="E10" s="2210">
        <v>1980</v>
      </c>
      <c r="F10" s="2210">
        <v>1782</v>
      </c>
    </row>
    <row r="11" spans="1:7" ht="12.75" customHeight="1" x14ac:dyDescent="0.2">
      <c r="A11" s="3218"/>
      <c r="B11" s="180" t="s">
        <v>416</v>
      </c>
      <c r="C11" s="178" t="s">
        <v>417</v>
      </c>
      <c r="D11" s="3221" t="s">
        <v>418</v>
      </c>
      <c r="E11" s="2210">
        <v>7950</v>
      </c>
      <c r="F11" s="2210">
        <v>7155</v>
      </c>
    </row>
    <row r="12" spans="1:7" ht="12.75" customHeight="1" x14ac:dyDescent="0.2">
      <c r="A12" s="3218"/>
      <c r="B12" s="180" t="s">
        <v>419</v>
      </c>
      <c r="C12" s="178" t="s">
        <v>420</v>
      </c>
      <c r="D12" s="3222"/>
      <c r="E12" s="2210">
        <v>11500</v>
      </c>
      <c r="F12" s="2210">
        <v>10350</v>
      </c>
    </row>
    <row r="13" spans="1:7" ht="12.75" customHeight="1" x14ac:dyDescent="0.2">
      <c r="A13" s="3218"/>
      <c r="B13" s="180" t="s">
        <v>421</v>
      </c>
      <c r="C13" s="178" t="s">
        <v>420</v>
      </c>
      <c r="D13" s="179" t="s">
        <v>422</v>
      </c>
      <c r="E13" s="2210">
        <v>1350</v>
      </c>
      <c r="F13" s="2210">
        <v>1215</v>
      </c>
    </row>
    <row r="14" spans="1:7" ht="12.75" customHeight="1" x14ac:dyDescent="0.2">
      <c r="A14" s="3218"/>
      <c r="B14" s="181" t="s">
        <v>423</v>
      </c>
      <c r="C14" s="182" t="s">
        <v>420</v>
      </c>
      <c r="D14" s="184" t="s">
        <v>422</v>
      </c>
      <c r="E14" s="2210">
        <v>770</v>
      </c>
      <c r="F14" s="2210">
        <v>693</v>
      </c>
    </row>
    <row r="15" spans="1:7" ht="12.75" customHeight="1" x14ac:dyDescent="0.2">
      <c r="A15" s="3218"/>
      <c r="B15" s="180" t="s">
        <v>424</v>
      </c>
      <c r="C15" s="178" t="s">
        <v>417</v>
      </c>
      <c r="D15" s="179" t="s">
        <v>425</v>
      </c>
      <c r="E15" s="2210">
        <v>1885</v>
      </c>
      <c r="F15" s="2210">
        <v>1696.5</v>
      </c>
    </row>
    <row r="16" spans="1:7" ht="12.75" customHeight="1" x14ac:dyDescent="0.2">
      <c r="A16" s="3228"/>
      <c r="B16" s="180" t="s">
        <v>426</v>
      </c>
      <c r="C16" s="178" t="s">
        <v>417</v>
      </c>
      <c r="D16" s="179" t="s">
        <v>427</v>
      </c>
      <c r="E16" s="185">
        <v>1215</v>
      </c>
      <c r="F16" s="185">
        <v>1093.5</v>
      </c>
    </row>
    <row r="17" spans="1:6" ht="12.75" customHeight="1" thickBot="1" x14ac:dyDescent="0.25">
      <c r="A17" s="3219"/>
      <c r="B17" s="186" t="s">
        <v>428</v>
      </c>
      <c r="C17" s="187" t="s">
        <v>417</v>
      </c>
      <c r="D17" s="188" t="s">
        <v>429</v>
      </c>
      <c r="E17" s="189">
        <v>770</v>
      </c>
      <c r="F17" s="189">
        <v>693</v>
      </c>
    </row>
    <row r="18" spans="1:6" s="964" customFormat="1" ht="15.75" customHeight="1" x14ac:dyDescent="0.2">
      <c r="A18" s="3232" t="s">
        <v>430</v>
      </c>
      <c r="B18" s="190" t="s">
        <v>431</v>
      </c>
      <c r="C18" s="3235" t="s">
        <v>432</v>
      </c>
      <c r="D18" s="3236" t="s">
        <v>433</v>
      </c>
      <c r="E18" s="2221">
        <v>1500</v>
      </c>
      <c r="F18" s="191">
        <v>1350</v>
      </c>
    </row>
    <row r="19" spans="1:6" s="964" customFormat="1" x14ac:dyDescent="0.2">
      <c r="A19" s="3233"/>
      <c r="B19" s="192" t="s">
        <v>434</v>
      </c>
      <c r="C19" s="3225"/>
      <c r="D19" s="3227"/>
      <c r="E19" s="193">
        <v>1820</v>
      </c>
      <c r="F19" s="2210">
        <v>1638</v>
      </c>
    </row>
    <row r="20" spans="1:6" s="964" customFormat="1" x14ac:dyDescent="0.2">
      <c r="A20" s="3233"/>
      <c r="B20" s="192" t="s">
        <v>435</v>
      </c>
      <c r="C20" s="194" t="s">
        <v>436</v>
      </c>
      <c r="D20" s="3226" t="s">
        <v>437</v>
      </c>
      <c r="E20" s="193">
        <v>4100</v>
      </c>
      <c r="F20" s="193">
        <v>3690</v>
      </c>
    </row>
    <row r="21" spans="1:6" s="964" customFormat="1" x14ac:dyDescent="0.2">
      <c r="A21" s="3233"/>
      <c r="B21" s="192" t="s">
        <v>438</v>
      </c>
      <c r="C21" s="194" t="s">
        <v>432</v>
      </c>
      <c r="D21" s="3227"/>
      <c r="E21" s="193">
        <v>2966</v>
      </c>
      <c r="F21" s="2078">
        <v>2669</v>
      </c>
    </row>
    <row r="22" spans="1:6" s="964" customFormat="1" ht="17.25" customHeight="1" x14ac:dyDescent="0.2">
      <c r="A22" s="3233"/>
      <c r="B22" s="192" t="s">
        <v>439</v>
      </c>
      <c r="C22" s="3224" t="s">
        <v>436</v>
      </c>
      <c r="D22" s="3226" t="s">
        <v>440</v>
      </c>
      <c r="E22" s="193">
        <v>3675</v>
      </c>
      <c r="F22" s="2210">
        <v>3308</v>
      </c>
    </row>
    <row r="23" spans="1:6" s="964" customFormat="1" x14ac:dyDescent="0.2">
      <c r="A23" s="3233"/>
      <c r="B23" s="192" t="s">
        <v>441</v>
      </c>
      <c r="C23" s="3225"/>
      <c r="D23" s="3227"/>
      <c r="E23" s="193">
        <v>3675</v>
      </c>
      <c r="F23" s="2210">
        <v>3308</v>
      </c>
    </row>
    <row r="24" spans="1:6" s="964" customFormat="1" x14ac:dyDescent="0.2">
      <c r="A24" s="3233"/>
      <c r="B24" s="192" t="s">
        <v>442</v>
      </c>
      <c r="C24" s="3224" t="s">
        <v>432</v>
      </c>
      <c r="D24" s="3226" t="s">
        <v>443</v>
      </c>
      <c r="E24" s="193">
        <v>2250</v>
      </c>
      <c r="F24" s="2210">
        <v>2025</v>
      </c>
    </row>
    <row r="25" spans="1:6" s="964" customFormat="1" x14ac:dyDescent="0.2">
      <c r="A25" s="3233"/>
      <c r="B25" s="192" t="s">
        <v>444</v>
      </c>
      <c r="C25" s="3225"/>
      <c r="D25" s="3227"/>
      <c r="E25" s="193">
        <v>2250</v>
      </c>
      <c r="F25" s="2210">
        <v>2025</v>
      </c>
    </row>
    <row r="26" spans="1:6" s="964" customFormat="1" x14ac:dyDescent="0.2">
      <c r="A26" s="3233"/>
      <c r="B26" s="192" t="s">
        <v>445</v>
      </c>
      <c r="C26" s="3224" t="s">
        <v>446</v>
      </c>
      <c r="D26" s="3226" t="s">
        <v>447</v>
      </c>
      <c r="E26" s="193">
        <v>2257</v>
      </c>
      <c r="F26" s="2078">
        <v>2031</v>
      </c>
    </row>
    <row r="27" spans="1:6" s="964" customFormat="1" x14ac:dyDescent="0.2">
      <c r="A27" s="3233"/>
      <c r="B27" s="192" t="s">
        <v>448</v>
      </c>
      <c r="C27" s="3225"/>
      <c r="D27" s="3227"/>
      <c r="E27" s="193">
        <v>2257</v>
      </c>
      <c r="F27" s="2078">
        <v>2031</v>
      </c>
    </row>
    <row r="28" spans="1:6" s="964" customFormat="1" x14ac:dyDescent="0.2">
      <c r="A28" s="3233"/>
      <c r="B28" s="192" t="s">
        <v>2066</v>
      </c>
      <c r="C28" s="3224" t="s">
        <v>446</v>
      </c>
      <c r="D28" s="3226" t="s">
        <v>449</v>
      </c>
      <c r="E28" s="193">
        <v>2871</v>
      </c>
      <c r="F28" s="2078">
        <v>2584</v>
      </c>
    </row>
    <row r="29" spans="1:6" s="964" customFormat="1" x14ac:dyDescent="0.2">
      <c r="A29" s="3233"/>
      <c r="B29" s="192" t="s">
        <v>2067</v>
      </c>
      <c r="C29" s="3225"/>
      <c r="D29" s="3227"/>
      <c r="E29" s="193">
        <v>2871</v>
      </c>
      <c r="F29" s="2078">
        <v>2584</v>
      </c>
    </row>
    <row r="30" spans="1:6" s="964" customFormat="1" x14ac:dyDescent="0.2">
      <c r="A30" s="3233"/>
      <c r="B30" s="192" t="s">
        <v>1742</v>
      </c>
      <c r="C30" s="3224" t="s">
        <v>436</v>
      </c>
      <c r="D30" s="3226" t="s">
        <v>450</v>
      </c>
      <c r="E30" s="193">
        <v>4550</v>
      </c>
      <c r="F30" s="2210">
        <v>4095</v>
      </c>
    </row>
    <row r="31" spans="1:6" s="964" customFormat="1" x14ac:dyDescent="0.2">
      <c r="A31" s="3233"/>
      <c r="B31" s="192" t="s">
        <v>1743</v>
      </c>
      <c r="C31" s="3225"/>
      <c r="D31" s="3227"/>
      <c r="E31" s="193">
        <v>4550</v>
      </c>
      <c r="F31" s="2210">
        <v>4095</v>
      </c>
    </row>
    <row r="32" spans="1:6" s="964" customFormat="1" ht="25.5" x14ac:dyDescent="0.2">
      <c r="A32" s="3233"/>
      <c r="B32" s="192" t="s">
        <v>451</v>
      </c>
      <c r="C32" s="194" t="s">
        <v>436</v>
      </c>
      <c r="D32" s="196" t="s">
        <v>452</v>
      </c>
      <c r="E32" s="193">
        <v>2530</v>
      </c>
      <c r="F32" s="2210">
        <v>2277</v>
      </c>
    </row>
    <row r="33" spans="1:6" s="964" customFormat="1" ht="25.5" x14ac:dyDescent="0.2">
      <c r="A33" s="3233"/>
      <c r="B33" s="192" t="s">
        <v>453</v>
      </c>
      <c r="C33" s="194" t="s">
        <v>432</v>
      </c>
      <c r="D33" s="196" t="s">
        <v>454</v>
      </c>
      <c r="E33" s="193">
        <v>7000</v>
      </c>
      <c r="F33" s="2210">
        <v>6300</v>
      </c>
    </row>
    <row r="34" spans="1:6" s="964" customFormat="1" x14ac:dyDescent="0.2">
      <c r="A34" s="3233"/>
      <c r="B34" s="192" t="s">
        <v>455</v>
      </c>
      <c r="C34" s="194" t="s">
        <v>432</v>
      </c>
      <c r="D34" s="196" t="s">
        <v>456</v>
      </c>
      <c r="E34" s="193">
        <v>2970</v>
      </c>
      <c r="F34" s="2210">
        <v>2673</v>
      </c>
    </row>
    <row r="35" spans="1:6" s="964" customFormat="1" ht="26.25" thickBot="1" x14ac:dyDescent="0.25">
      <c r="A35" s="3234"/>
      <c r="B35" s="197" t="s">
        <v>457</v>
      </c>
      <c r="C35" s="198" t="s">
        <v>432</v>
      </c>
      <c r="D35" s="199" t="s">
        <v>458</v>
      </c>
      <c r="E35" s="210">
        <v>594</v>
      </c>
      <c r="F35" s="203">
        <v>535</v>
      </c>
    </row>
    <row r="36" spans="1:6" s="964" customFormat="1" ht="15.75" customHeight="1" x14ac:dyDescent="0.2">
      <c r="A36" s="3217" t="s">
        <v>459</v>
      </c>
      <c r="B36" s="200" t="s">
        <v>460</v>
      </c>
      <c r="C36" s="201" t="s">
        <v>461</v>
      </c>
      <c r="D36" s="3229" t="s">
        <v>462</v>
      </c>
      <c r="E36" s="1851">
        <v>17600</v>
      </c>
      <c r="F36" s="1851">
        <v>15840</v>
      </c>
    </row>
    <row r="37" spans="1:6" s="964" customFormat="1" ht="15" customHeight="1" x14ac:dyDescent="0.2">
      <c r="A37" s="3218"/>
      <c r="B37" s="202" t="s">
        <v>460</v>
      </c>
      <c r="C37" s="195" t="s">
        <v>436</v>
      </c>
      <c r="D37" s="3215"/>
      <c r="E37" s="203">
        <v>16400</v>
      </c>
      <c r="F37" s="203">
        <v>14760</v>
      </c>
    </row>
    <row r="38" spans="1:6" s="964" customFormat="1" ht="15" customHeight="1" x14ac:dyDescent="0.2">
      <c r="A38" s="3218"/>
      <c r="B38" s="202" t="s">
        <v>463</v>
      </c>
      <c r="C38" s="195" t="s">
        <v>464</v>
      </c>
      <c r="D38" s="3215" t="s">
        <v>465</v>
      </c>
      <c r="E38" s="203">
        <v>18300</v>
      </c>
      <c r="F38" s="203">
        <v>16470</v>
      </c>
    </row>
    <row r="39" spans="1:6" s="964" customFormat="1" ht="15" customHeight="1" x14ac:dyDescent="0.2">
      <c r="A39" s="3218"/>
      <c r="B39" s="202" t="s">
        <v>463</v>
      </c>
      <c r="C39" s="195" t="s">
        <v>436</v>
      </c>
      <c r="D39" s="3215"/>
      <c r="E39" s="203">
        <v>17250</v>
      </c>
      <c r="F39" s="203">
        <v>15525</v>
      </c>
    </row>
    <row r="40" spans="1:6" s="964" customFormat="1" ht="38.25" x14ac:dyDescent="0.2">
      <c r="A40" s="3218"/>
      <c r="B40" s="202" t="s">
        <v>466</v>
      </c>
      <c r="C40" s="195" t="s">
        <v>436</v>
      </c>
      <c r="D40" s="204" t="s">
        <v>467</v>
      </c>
      <c r="E40" s="203">
        <v>17600</v>
      </c>
      <c r="F40" s="203">
        <v>15840</v>
      </c>
    </row>
    <row r="41" spans="1:6" s="964" customFormat="1" x14ac:dyDescent="0.2">
      <c r="A41" s="3218"/>
      <c r="B41" s="202" t="s">
        <v>468</v>
      </c>
      <c r="C41" s="195" t="s">
        <v>436</v>
      </c>
      <c r="D41" s="3212" t="s">
        <v>3086</v>
      </c>
      <c r="E41" s="203">
        <v>16300</v>
      </c>
      <c r="F41" s="203">
        <v>14670</v>
      </c>
    </row>
    <row r="42" spans="1:6" s="964" customFormat="1" x14ac:dyDescent="0.2">
      <c r="A42" s="3218"/>
      <c r="B42" s="202" t="s">
        <v>469</v>
      </c>
      <c r="C42" s="195" t="s">
        <v>432</v>
      </c>
      <c r="D42" s="3211"/>
      <c r="E42" s="203">
        <v>16222</v>
      </c>
      <c r="F42" s="203">
        <v>14600</v>
      </c>
    </row>
    <row r="43" spans="1:6" s="964" customFormat="1" x14ac:dyDescent="0.2">
      <c r="A43" s="3218"/>
      <c r="B43" s="205" t="s">
        <v>1744</v>
      </c>
      <c r="C43" s="206" t="s">
        <v>446</v>
      </c>
      <c r="D43" s="204" t="s">
        <v>3087</v>
      </c>
      <c r="E43" s="203">
        <v>6860</v>
      </c>
      <c r="F43" s="203">
        <v>6174</v>
      </c>
    </row>
    <row r="44" spans="1:6" s="964" customFormat="1" x14ac:dyDescent="0.2">
      <c r="A44" s="3218"/>
      <c r="B44" s="202" t="s">
        <v>470</v>
      </c>
      <c r="C44" s="195" t="s">
        <v>432</v>
      </c>
      <c r="D44" s="204" t="s">
        <v>3088</v>
      </c>
      <c r="E44" s="203">
        <v>15252</v>
      </c>
      <c r="F44" s="2078">
        <v>13727</v>
      </c>
    </row>
    <row r="45" spans="1:6" s="964" customFormat="1" x14ac:dyDescent="0.2">
      <c r="A45" s="3218"/>
      <c r="B45" s="207" t="s">
        <v>471</v>
      </c>
      <c r="C45" s="208" t="s">
        <v>432</v>
      </c>
      <c r="D45" s="3230" t="s">
        <v>472</v>
      </c>
      <c r="E45" s="203">
        <v>30700</v>
      </c>
      <c r="F45" s="2078">
        <v>27630</v>
      </c>
    </row>
    <row r="46" spans="1:6" s="964" customFormat="1" x14ac:dyDescent="0.2">
      <c r="A46" s="3228"/>
      <c r="B46" s="209" t="s">
        <v>473</v>
      </c>
      <c r="C46" s="2076" t="s">
        <v>432</v>
      </c>
      <c r="D46" s="3231"/>
      <c r="E46" s="1565">
        <v>39150</v>
      </c>
      <c r="F46" s="185">
        <v>35235</v>
      </c>
    </row>
    <row r="47" spans="1:6" s="964" customFormat="1" ht="13.5" thickBot="1" x14ac:dyDescent="0.25">
      <c r="A47" s="3228"/>
      <c r="B47" s="209" t="s">
        <v>474</v>
      </c>
      <c r="C47" s="2076" t="s">
        <v>432</v>
      </c>
      <c r="D47" s="3231"/>
      <c r="E47" s="210">
        <v>28300</v>
      </c>
      <c r="F47" s="203">
        <v>25470</v>
      </c>
    </row>
    <row r="48" spans="1:6" s="964" customFormat="1" ht="15.75" customHeight="1" x14ac:dyDescent="0.2">
      <c r="A48" s="3206" t="s">
        <v>475</v>
      </c>
      <c r="B48" s="200" t="s">
        <v>476</v>
      </c>
      <c r="C48" s="2072" t="s">
        <v>432</v>
      </c>
      <c r="D48" s="3209" t="s">
        <v>3089</v>
      </c>
      <c r="E48" s="1851">
        <v>3150</v>
      </c>
      <c r="F48" s="211">
        <v>2835</v>
      </c>
    </row>
    <row r="49" spans="1:8" s="964" customFormat="1" x14ac:dyDescent="0.2">
      <c r="A49" s="3207"/>
      <c r="B49" s="202" t="s">
        <v>476</v>
      </c>
      <c r="C49" s="2073" t="s">
        <v>436</v>
      </c>
      <c r="D49" s="3210"/>
      <c r="E49" s="210">
        <v>2090</v>
      </c>
      <c r="F49" s="203">
        <v>1881</v>
      </c>
    </row>
    <row r="50" spans="1:8" s="964" customFormat="1" x14ac:dyDescent="0.2">
      <c r="A50" s="3207"/>
      <c r="B50" s="202" t="s">
        <v>1745</v>
      </c>
      <c r="C50" s="2073" t="s">
        <v>436</v>
      </c>
      <c r="D50" s="3211"/>
      <c r="E50" s="210">
        <v>2300</v>
      </c>
      <c r="F50" s="203">
        <v>2070</v>
      </c>
    </row>
    <row r="51" spans="1:8" s="964" customFormat="1" x14ac:dyDescent="0.2">
      <c r="A51" s="3207"/>
      <c r="B51" s="2074" t="s">
        <v>477</v>
      </c>
      <c r="C51" s="2073" t="s">
        <v>432</v>
      </c>
      <c r="D51" s="202" t="s">
        <v>3090</v>
      </c>
      <c r="E51" s="203">
        <v>2898</v>
      </c>
      <c r="F51" s="191">
        <v>2608</v>
      </c>
    </row>
    <row r="52" spans="1:8" s="964" customFormat="1" x14ac:dyDescent="0.2">
      <c r="A52" s="3207"/>
      <c r="B52" s="2074" t="s">
        <v>2361</v>
      </c>
      <c r="C52" s="2073" t="s">
        <v>436</v>
      </c>
      <c r="D52" s="202" t="s">
        <v>478</v>
      </c>
      <c r="E52" s="203">
        <v>580</v>
      </c>
      <c r="F52" s="191">
        <v>522</v>
      </c>
    </row>
    <row r="53" spans="1:8" s="964" customFormat="1" x14ac:dyDescent="0.2">
      <c r="A53" s="3207"/>
      <c r="B53" s="180" t="s">
        <v>3432</v>
      </c>
      <c r="C53" s="178" t="s">
        <v>3091</v>
      </c>
      <c r="D53" s="3212" t="s">
        <v>3092</v>
      </c>
      <c r="E53" s="203">
        <v>400</v>
      </c>
      <c r="F53" s="191">
        <v>360</v>
      </c>
    </row>
    <row r="54" spans="1:8" s="964" customFormat="1" x14ac:dyDescent="0.2">
      <c r="A54" s="3207"/>
      <c r="B54" s="180" t="s">
        <v>3433</v>
      </c>
      <c r="C54" s="178" t="s">
        <v>3091</v>
      </c>
      <c r="D54" s="3211"/>
      <c r="E54" s="203">
        <v>380</v>
      </c>
      <c r="F54" s="191">
        <v>342</v>
      </c>
    </row>
    <row r="55" spans="1:8" s="964" customFormat="1" x14ac:dyDescent="0.2">
      <c r="A55" s="3207"/>
      <c r="B55" s="207" t="s">
        <v>2068</v>
      </c>
      <c r="C55" s="2073" t="s">
        <v>432</v>
      </c>
      <c r="D55" s="3213" t="s">
        <v>3093</v>
      </c>
      <c r="E55" s="203">
        <v>1969</v>
      </c>
      <c r="F55" s="191">
        <v>1772</v>
      </c>
    </row>
    <row r="56" spans="1:8" s="964" customFormat="1" x14ac:dyDescent="0.2">
      <c r="A56" s="3207"/>
      <c r="B56" s="207" t="s">
        <v>2362</v>
      </c>
      <c r="C56" s="2073" t="s">
        <v>432</v>
      </c>
      <c r="D56" s="3214"/>
      <c r="E56" s="203">
        <v>2585</v>
      </c>
      <c r="F56" s="191">
        <v>2327</v>
      </c>
      <c r="H56" s="965"/>
    </row>
    <row r="57" spans="1:8" s="964" customFormat="1" ht="27.75" customHeight="1" x14ac:dyDescent="0.2">
      <c r="A57" s="3207"/>
      <c r="B57" s="202" t="s">
        <v>2363</v>
      </c>
      <c r="C57" s="2073" t="s">
        <v>436</v>
      </c>
      <c r="D57" s="202" t="s">
        <v>3094</v>
      </c>
      <c r="E57" s="210">
        <v>1890</v>
      </c>
      <c r="F57" s="203">
        <v>1701</v>
      </c>
    </row>
    <row r="58" spans="1:8" s="964" customFormat="1" ht="16.5" customHeight="1" x14ac:dyDescent="0.2">
      <c r="A58" s="3207"/>
      <c r="B58" s="202" t="s">
        <v>479</v>
      </c>
      <c r="C58" s="2073" t="s">
        <v>436</v>
      </c>
      <c r="D58" s="3215" t="s">
        <v>480</v>
      </c>
      <c r="E58" s="210">
        <v>10080</v>
      </c>
      <c r="F58" s="203">
        <v>9072</v>
      </c>
    </row>
    <row r="59" spans="1:8" s="964" customFormat="1" ht="17.25" customHeight="1" x14ac:dyDescent="0.2">
      <c r="A59" s="3207"/>
      <c r="B59" s="202" t="s">
        <v>481</v>
      </c>
      <c r="C59" s="2073" t="s">
        <v>436</v>
      </c>
      <c r="D59" s="3215"/>
      <c r="E59" s="210">
        <v>10000</v>
      </c>
      <c r="F59" s="203">
        <v>9000</v>
      </c>
    </row>
    <row r="60" spans="1:8" s="964" customFormat="1" ht="16.5" customHeight="1" x14ac:dyDescent="0.2">
      <c r="A60" s="3207"/>
      <c r="B60" s="202" t="s">
        <v>482</v>
      </c>
      <c r="C60" s="2073" t="s">
        <v>432</v>
      </c>
      <c r="D60" s="3215"/>
      <c r="E60" s="210">
        <v>9450</v>
      </c>
      <c r="F60" s="203">
        <v>8505</v>
      </c>
    </row>
    <row r="61" spans="1:8" s="964" customFormat="1" x14ac:dyDescent="0.2">
      <c r="A61" s="3207"/>
      <c r="B61" s="202" t="s">
        <v>483</v>
      </c>
      <c r="C61" s="2073" t="s">
        <v>436</v>
      </c>
      <c r="D61" s="202" t="s">
        <v>3095</v>
      </c>
      <c r="E61" s="210">
        <v>10078</v>
      </c>
      <c r="F61" s="203">
        <v>9070</v>
      </c>
    </row>
    <row r="62" spans="1:8" s="964" customFormat="1" x14ac:dyDescent="0.2">
      <c r="A62" s="3207"/>
      <c r="B62" s="202" t="s">
        <v>484</v>
      </c>
      <c r="C62" s="2073" t="s">
        <v>436</v>
      </c>
      <c r="D62" s="3212" t="s">
        <v>3096</v>
      </c>
      <c r="E62" s="210">
        <v>8950</v>
      </c>
      <c r="F62" s="203">
        <v>8055</v>
      </c>
    </row>
    <row r="63" spans="1:8" s="964" customFormat="1" ht="13.5" thickBot="1" x14ac:dyDescent="0.25">
      <c r="A63" s="3208"/>
      <c r="B63" s="212" t="s">
        <v>485</v>
      </c>
      <c r="C63" s="213" t="s">
        <v>436</v>
      </c>
      <c r="D63" s="3216"/>
      <c r="E63" s="2222">
        <v>4900</v>
      </c>
      <c r="F63" s="1697">
        <v>4410</v>
      </c>
    </row>
    <row r="64" spans="1:8" s="964" customFormat="1" x14ac:dyDescent="0.2">
      <c r="A64" s="3217" t="s">
        <v>3097</v>
      </c>
      <c r="B64" s="200" t="s">
        <v>486</v>
      </c>
      <c r="C64" s="201" t="s">
        <v>436</v>
      </c>
      <c r="D64" s="2087" t="s">
        <v>487</v>
      </c>
      <c r="E64" s="1851">
        <v>1955</v>
      </c>
      <c r="F64" s="1851">
        <v>1760</v>
      </c>
    </row>
    <row r="65" spans="1:6" s="964" customFormat="1" ht="25.5" x14ac:dyDescent="0.2">
      <c r="A65" s="3218"/>
      <c r="B65" s="202" t="s">
        <v>488</v>
      </c>
      <c r="C65" s="195" t="s">
        <v>436</v>
      </c>
      <c r="D65" s="204" t="s">
        <v>489</v>
      </c>
      <c r="E65" s="1696">
        <v>13537</v>
      </c>
      <c r="F65" s="203">
        <v>12183</v>
      </c>
    </row>
    <row r="66" spans="1:6" s="964" customFormat="1" ht="26.25" thickBot="1" x14ac:dyDescent="0.25">
      <c r="A66" s="3219"/>
      <c r="B66" s="212" t="s">
        <v>490</v>
      </c>
      <c r="C66" s="224" t="s">
        <v>432</v>
      </c>
      <c r="D66" s="225" t="s">
        <v>491</v>
      </c>
      <c r="E66" s="2088">
        <v>1180</v>
      </c>
      <c r="F66" s="1697">
        <v>1062</v>
      </c>
    </row>
    <row r="67" spans="1:6" s="964" customFormat="1" ht="25.5" x14ac:dyDescent="0.2">
      <c r="A67" s="3220" t="s">
        <v>583</v>
      </c>
      <c r="B67" s="232" t="s">
        <v>584</v>
      </c>
      <c r="C67" s="233" t="s">
        <v>585</v>
      </c>
      <c r="D67" s="245" t="s">
        <v>586</v>
      </c>
      <c r="E67" s="2079">
        <v>590</v>
      </c>
      <c r="F67" s="2079">
        <v>531</v>
      </c>
    </row>
    <row r="68" spans="1:6" s="964" customFormat="1" ht="25.5" x14ac:dyDescent="0.2">
      <c r="A68" s="3218"/>
      <c r="B68" s="177" t="s">
        <v>587</v>
      </c>
      <c r="C68" s="178" t="s">
        <v>585</v>
      </c>
      <c r="D68" s="179" t="s">
        <v>588</v>
      </c>
      <c r="E68" s="1616" t="s">
        <v>589</v>
      </c>
      <c r="F68" s="1616" t="s">
        <v>590</v>
      </c>
    </row>
    <row r="69" spans="1:6" s="964" customFormat="1" ht="25.5" x14ac:dyDescent="0.2">
      <c r="A69" s="3218"/>
      <c r="B69" s="181" t="s">
        <v>1756</v>
      </c>
      <c r="C69" s="183" t="s">
        <v>17</v>
      </c>
      <c r="D69" s="196" t="s">
        <v>591</v>
      </c>
      <c r="E69" s="2078">
        <v>95</v>
      </c>
      <c r="F69" s="1616">
        <v>85.5</v>
      </c>
    </row>
    <row r="70" spans="1:6" s="964" customFormat="1" ht="25.5" x14ac:dyDescent="0.2">
      <c r="A70" s="3218"/>
      <c r="B70" s="192" t="s">
        <v>3427</v>
      </c>
      <c r="C70" s="183" t="s">
        <v>3428</v>
      </c>
      <c r="D70" s="196" t="s">
        <v>3429</v>
      </c>
      <c r="E70" s="2383">
        <v>180</v>
      </c>
      <c r="F70" s="2384">
        <v>162</v>
      </c>
    </row>
    <row r="71" spans="1:6" s="964" customFormat="1" ht="25.5" x14ac:dyDescent="0.2">
      <c r="A71" s="3218"/>
      <c r="B71" s="180" t="s">
        <v>592</v>
      </c>
      <c r="C71" s="178" t="s">
        <v>585</v>
      </c>
      <c r="D71" s="179" t="s">
        <v>593</v>
      </c>
      <c r="E71" s="1616">
        <v>870</v>
      </c>
      <c r="F71" s="1616">
        <v>783</v>
      </c>
    </row>
    <row r="72" spans="1:6" s="964" customFormat="1" ht="12.75" customHeight="1" x14ac:dyDescent="0.2">
      <c r="A72" s="3218"/>
      <c r="B72" s="180" t="s">
        <v>594</v>
      </c>
      <c r="C72" s="178" t="s">
        <v>595</v>
      </c>
      <c r="D72" s="3221" t="s">
        <v>596</v>
      </c>
      <c r="E72" s="2078">
        <v>7883</v>
      </c>
      <c r="F72" s="2078">
        <v>7095</v>
      </c>
    </row>
    <row r="73" spans="1:6" s="964" customFormat="1" x14ac:dyDescent="0.2">
      <c r="A73" s="3218"/>
      <c r="B73" s="180" t="s">
        <v>2374</v>
      </c>
      <c r="C73" s="178" t="s">
        <v>536</v>
      </c>
      <c r="D73" s="3223"/>
      <c r="E73" s="2078">
        <v>7220</v>
      </c>
      <c r="F73" s="2078">
        <v>6498</v>
      </c>
    </row>
    <row r="74" spans="1:6" s="964" customFormat="1" x14ac:dyDescent="0.2">
      <c r="A74" s="3218"/>
      <c r="B74" s="180" t="s">
        <v>2375</v>
      </c>
      <c r="C74" s="178" t="s">
        <v>536</v>
      </c>
      <c r="D74" s="3223"/>
      <c r="E74" s="2078">
        <v>7750</v>
      </c>
      <c r="F74" s="2078">
        <v>6975</v>
      </c>
    </row>
    <row r="75" spans="1:6" s="964" customFormat="1" x14ac:dyDescent="0.2">
      <c r="A75" s="3218"/>
      <c r="B75" s="180" t="s">
        <v>3434</v>
      </c>
      <c r="C75" s="178" t="s">
        <v>536</v>
      </c>
      <c r="D75" s="3222"/>
      <c r="E75" s="2383">
        <v>7133</v>
      </c>
      <c r="F75" s="2383">
        <v>6420</v>
      </c>
    </row>
    <row r="76" spans="1:6" s="964" customFormat="1" x14ac:dyDescent="0.2">
      <c r="A76" s="3218"/>
      <c r="B76" s="180" t="s">
        <v>2376</v>
      </c>
      <c r="C76" s="178" t="s">
        <v>536</v>
      </c>
      <c r="D76" s="3221" t="s">
        <v>1757</v>
      </c>
      <c r="E76" s="2078">
        <v>2490</v>
      </c>
      <c r="F76" s="2078">
        <v>2241</v>
      </c>
    </row>
    <row r="77" spans="1:6" s="964" customFormat="1" x14ac:dyDescent="0.2">
      <c r="A77" s="3218"/>
      <c r="B77" s="180" t="s">
        <v>2377</v>
      </c>
      <c r="C77" s="178" t="s">
        <v>536</v>
      </c>
      <c r="D77" s="3222"/>
      <c r="E77" s="2078">
        <v>2980</v>
      </c>
      <c r="F77" s="2078">
        <v>2682</v>
      </c>
    </row>
    <row r="78" spans="1:6" s="964" customFormat="1" x14ac:dyDescent="0.2">
      <c r="A78" s="3218"/>
      <c r="B78" s="177" t="s">
        <v>597</v>
      </c>
      <c r="C78" s="178" t="s">
        <v>598</v>
      </c>
      <c r="D78" s="3221" t="s">
        <v>599</v>
      </c>
      <c r="E78" s="1616">
        <v>150</v>
      </c>
      <c r="F78" s="1616">
        <v>135</v>
      </c>
    </row>
    <row r="79" spans="1:6" s="964" customFormat="1" x14ac:dyDescent="0.2">
      <c r="A79" s="3218"/>
      <c r="B79" s="177" t="s">
        <v>2378</v>
      </c>
      <c r="C79" s="178" t="s">
        <v>598</v>
      </c>
      <c r="D79" s="3222"/>
      <c r="E79" s="1616">
        <v>230</v>
      </c>
      <c r="F79" s="1616">
        <v>207</v>
      </c>
    </row>
    <row r="80" spans="1:6" s="964" customFormat="1" x14ac:dyDescent="0.2">
      <c r="A80" s="3218"/>
      <c r="B80" s="177" t="s">
        <v>3430</v>
      </c>
      <c r="C80" s="178" t="s">
        <v>598</v>
      </c>
      <c r="D80" s="177" t="s">
        <v>3098</v>
      </c>
      <c r="E80" s="1616">
        <v>560</v>
      </c>
      <c r="F80" s="1616">
        <v>504</v>
      </c>
    </row>
    <row r="81" spans="1:7" s="964" customFormat="1" x14ac:dyDescent="0.2">
      <c r="A81" s="3218"/>
      <c r="B81" s="180" t="s">
        <v>3431</v>
      </c>
      <c r="C81" s="178" t="s">
        <v>432</v>
      </c>
      <c r="D81" s="177" t="s">
        <v>3099</v>
      </c>
      <c r="E81" s="2210">
        <v>1400</v>
      </c>
      <c r="F81" s="2210">
        <v>1260</v>
      </c>
    </row>
    <row r="82" spans="1:7" s="964" customFormat="1" ht="5.25" customHeight="1" x14ac:dyDescent="0.2">
      <c r="A82" s="966"/>
      <c r="E82" s="1647"/>
      <c r="F82" s="1647"/>
    </row>
    <row r="83" spans="1:7" ht="12.75" customHeight="1" x14ac:dyDescent="0.2">
      <c r="A83" s="3205" t="s">
        <v>408</v>
      </c>
      <c r="B83" s="3205"/>
      <c r="C83" s="3205"/>
      <c r="D83" s="3205"/>
      <c r="E83" s="3205"/>
      <c r="F83" s="3205"/>
      <c r="G83" s="214"/>
    </row>
    <row r="84" spans="1:7" ht="5.25" customHeight="1" x14ac:dyDescent="0.2">
      <c r="B84" s="215"/>
      <c r="C84" s="216"/>
      <c r="D84" s="217"/>
      <c r="E84" s="1648"/>
      <c r="F84" s="1648"/>
      <c r="G84" s="218"/>
    </row>
    <row r="85" spans="1:7" x14ac:dyDescent="0.2">
      <c r="A85" s="219" t="s">
        <v>2326</v>
      </c>
      <c r="C85" s="220"/>
      <c r="D85" s="220"/>
      <c r="E85" s="220"/>
      <c r="F85" s="220"/>
      <c r="G85" s="219"/>
    </row>
    <row r="86" spans="1:7" x14ac:dyDescent="0.2">
      <c r="A86" s="221" t="s">
        <v>2364</v>
      </c>
      <c r="C86" s="220"/>
      <c r="D86" s="220"/>
      <c r="E86" s="220"/>
      <c r="F86" s="220"/>
      <c r="G86" s="219"/>
    </row>
    <row r="87" spans="1:7" ht="7.5" customHeight="1" x14ac:dyDescent="0.2">
      <c r="B87" s="220"/>
      <c r="C87" s="219"/>
      <c r="D87" s="219"/>
      <c r="E87" s="1649"/>
      <c r="F87" s="1649"/>
      <c r="G87" s="219"/>
    </row>
    <row r="88" spans="1:7" ht="16.5" customHeight="1" x14ac:dyDescent="0.2">
      <c r="C88" s="219"/>
      <c r="D88" s="219"/>
      <c r="E88" s="1649"/>
      <c r="F88" s="1649"/>
      <c r="G88" s="219"/>
    </row>
    <row r="89" spans="1:7" x14ac:dyDescent="0.2">
      <c r="B89" s="220"/>
      <c r="C89" s="219"/>
      <c r="D89" s="219"/>
      <c r="E89" s="1649"/>
      <c r="F89" s="1649"/>
      <c r="G89" s="219"/>
    </row>
    <row r="90" spans="1:7" x14ac:dyDescent="0.2">
      <c r="B90" s="220"/>
      <c r="C90" s="219"/>
      <c r="E90" s="1649"/>
      <c r="F90" s="1650"/>
      <c r="G90" s="219"/>
    </row>
    <row r="91" spans="1:7" x14ac:dyDescent="0.2">
      <c r="G91" s="219"/>
    </row>
    <row r="92" spans="1:7" x14ac:dyDescent="0.2">
      <c r="G92" s="219"/>
    </row>
    <row r="93" spans="1:7" x14ac:dyDescent="0.2">
      <c r="G93" s="219"/>
    </row>
    <row r="94" spans="1:7" x14ac:dyDescent="0.2">
      <c r="G94" s="219"/>
    </row>
  </sheetData>
  <mergeCells count="38">
    <mergeCell ref="D24:D25"/>
    <mergeCell ref="C26:C27"/>
    <mergeCell ref="D26:D27"/>
    <mergeCell ref="A1:F5"/>
    <mergeCell ref="A8:B9"/>
    <mergeCell ref="C8:C9"/>
    <mergeCell ref="D8:D9"/>
    <mergeCell ref="E8:F8"/>
    <mergeCell ref="A10:A17"/>
    <mergeCell ref="D11:D12"/>
    <mergeCell ref="C28:C29"/>
    <mergeCell ref="D28:D29"/>
    <mergeCell ref="C30:C31"/>
    <mergeCell ref="D30:D31"/>
    <mergeCell ref="A36:A47"/>
    <mergeCell ref="D36:D37"/>
    <mergeCell ref="D38:D39"/>
    <mergeCell ref="D41:D42"/>
    <mergeCell ref="D45:D47"/>
    <mergeCell ref="A18:A35"/>
    <mergeCell ref="C18:C19"/>
    <mergeCell ref="D18:D19"/>
    <mergeCell ref="D20:D21"/>
    <mergeCell ref="C22:C23"/>
    <mergeCell ref="D22:D23"/>
    <mergeCell ref="C24:C25"/>
    <mergeCell ref="A83:F83"/>
    <mergeCell ref="A48:A63"/>
    <mergeCell ref="D48:D50"/>
    <mergeCell ref="D53:D54"/>
    <mergeCell ref="D55:D56"/>
    <mergeCell ref="D58:D60"/>
    <mergeCell ref="D62:D63"/>
    <mergeCell ref="A64:A66"/>
    <mergeCell ref="A67:A81"/>
    <mergeCell ref="D76:D77"/>
    <mergeCell ref="D78:D79"/>
    <mergeCell ref="D72:D75"/>
  </mergeCells>
  <pageMargins left="0.70866141732283472" right="0.39370078740157483" top="0.39370078740157483" bottom="0.39370078740157483" header="0.31496062992125984" footer="0.31496062992125984"/>
  <pageSetup paperSize="9" scale="62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H101"/>
  <sheetViews>
    <sheetView topLeftCell="A34" workbookViewId="0">
      <selection sqref="A1:F6"/>
    </sheetView>
  </sheetViews>
  <sheetFormatPr defaultRowHeight="12.75" x14ac:dyDescent="0.2"/>
  <cols>
    <col min="1" max="1" width="5.140625" style="960" customWidth="1"/>
    <col min="2" max="2" width="48.42578125" style="960" customWidth="1"/>
    <col min="3" max="3" width="10.5703125" style="960" customWidth="1"/>
    <col min="4" max="4" width="59" style="960" customWidth="1"/>
    <col min="5" max="6" width="11.7109375" style="1651" customWidth="1"/>
    <col min="7" max="7" width="3" style="960" customWidth="1"/>
    <col min="8" max="8" width="6.140625" style="960" customWidth="1"/>
    <col min="9" max="255" width="9.140625" style="960"/>
    <col min="256" max="256" width="5.140625" style="960" customWidth="1"/>
    <col min="257" max="257" width="44.5703125" style="960" customWidth="1"/>
    <col min="258" max="258" width="14.28515625" style="960" customWidth="1"/>
    <col min="259" max="259" width="14.140625" style="960" customWidth="1"/>
    <col min="260" max="260" width="52.42578125" style="960" customWidth="1"/>
    <col min="261" max="262" width="11.7109375" style="960" customWidth="1"/>
    <col min="263" max="511" width="9.140625" style="960"/>
    <col min="512" max="512" width="5.140625" style="960" customWidth="1"/>
    <col min="513" max="513" width="44.5703125" style="960" customWidth="1"/>
    <col min="514" max="514" width="14.28515625" style="960" customWidth="1"/>
    <col min="515" max="515" width="14.140625" style="960" customWidth="1"/>
    <col min="516" max="516" width="52.42578125" style="960" customWidth="1"/>
    <col min="517" max="518" width="11.7109375" style="960" customWidth="1"/>
    <col min="519" max="767" width="9.140625" style="960"/>
    <col min="768" max="768" width="5.140625" style="960" customWidth="1"/>
    <col min="769" max="769" width="44.5703125" style="960" customWidth="1"/>
    <col min="770" max="770" width="14.28515625" style="960" customWidth="1"/>
    <col min="771" max="771" width="14.140625" style="960" customWidth="1"/>
    <col min="772" max="772" width="52.42578125" style="960" customWidth="1"/>
    <col min="773" max="774" width="11.7109375" style="960" customWidth="1"/>
    <col min="775" max="1023" width="9.140625" style="960"/>
    <col min="1024" max="1024" width="5.140625" style="960" customWidth="1"/>
    <col min="1025" max="1025" width="44.5703125" style="960" customWidth="1"/>
    <col min="1026" max="1026" width="14.28515625" style="960" customWidth="1"/>
    <col min="1027" max="1027" width="14.140625" style="960" customWidth="1"/>
    <col min="1028" max="1028" width="52.42578125" style="960" customWidth="1"/>
    <col min="1029" max="1030" width="11.7109375" style="960" customWidth="1"/>
    <col min="1031" max="1279" width="9.140625" style="960"/>
    <col min="1280" max="1280" width="5.140625" style="960" customWidth="1"/>
    <col min="1281" max="1281" width="44.5703125" style="960" customWidth="1"/>
    <col min="1282" max="1282" width="14.28515625" style="960" customWidth="1"/>
    <col min="1283" max="1283" width="14.140625" style="960" customWidth="1"/>
    <col min="1284" max="1284" width="52.42578125" style="960" customWidth="1"/>
    <col min="1285" max="1286" width="11.7109375" style="960" customWidth="1"/>
    <col min="1287" max="1535" width="9.140625" style="960"/>
    <col min="1536" max="1536" width="5.140625" style="960" customWidth="1"/>
    <col min="1537" max="1537" width="44.5703125" style="960" customWidth="1"/>
    <col min="1538" max="1538" width="14.28515625" style="960" customWidth="1"/>
    <col min="1539" max="1539" width="14.140625" style="960" customWidth="1"/>
    <col min="1540" max="1540" width="52.42578125" style="960" customWidth="1"/>
    <col min="1541" max="1542" width="11.7109375" style="960" customWidth="1"/>
    <col min="1543" max="1791" width="9.140625" style="960"/>
    <col min="1792" max="1792" width="5.140625" style="960" customWidth="1"/>
    <col min="1793" max="1793" width="44.5703125" style="960" customWidth="1"/>
    <col min="1794" max="1794" width="14.28515625" style="960" customWidth="1"/>
    <col min="1795" max="1795" width="14.140625" style="960" customWidth="1"/>
    <col min="1796" max="1796" width="52.42578125" style="960" customWidth="1"/>
    <col min="1797" max="1798" width="11.7109375" style="960" customWidth="1"/>
    <col min="1799" max="2047" width="9.140625" style="960"/>
    <col min="2048" max="2048" width="5.140625" style="960" customWidth="1"/>
    <col min="2049" max="2049" width="44.5703125" style="960" customWidth="1"/>
    <col min="2050" max="2050" width="14.28515625" style="960" customWidth="1"/>
    <col min="2051" max="2051" width="14.140625" style="960" customWidth="1"/>
    <col min="2052" max="2052" width="52.42578125" style="960" customWidth="1"/>
    <col min="2053" max="2054" width="11.7109375" style="960" customWidth="1"/>
    <col min="2055" max="2303" width="9.140625" style="960"/>
    <col min="2304" max="2304" width="5.140625" style="960" customWidth="1"/>
    <col min="2305" max="2305" width="44.5703125" style="960" customWidth="1"/>
    <col min="2306" max="2306" width="14.28515625" style="960" customWidth="1"/>
    <col min="2307" max="2307" width="14.140625" style="960" customWidth="1"/>
    <col min="2308" max="2308" width="52.42578125" style="960" customWidth="1"/>
    <col min="2309" max="2310" width="11.7109375" style="960" customWidth="1"/>
    <col min="2311" max="2559" width="9.140625" style="960"/>
    <col min="2560" max="2560" width="5.140625" style="960" customWidth="1"/>
    <col min="2561" max="2561" width="44.5703125" style="960" customWidth="1"/>
    <col min="2562" max="2562" width="14.28515625" style="960" customWidth="1"/>
    <col min="2563" max="2563" width="14.140625" style="960" customWidth="1"/>
    <col min="2564" max="2564" width="52.42578125" style="960" customWidth="1"/>
    <col min="2565" max="2566" width="11.7109375" style="960" customWidth="1"/>
    <col min="2567" max="2815" width="9.140625" style="960"/>
    <col min="2816" max="2816" width="5.140625" style="960" customWidth="1"/>
    <col min="2817" max="2817" width="44.5703125" style="960" customWidth="1"/>
    <col min="2818" max="2818" width="14.28515625" style="960" customWidth="1"/>
    <col min="2819" max="2819" width="14.140625" style="960" customWidth="1"/>
    <col min="2820" max="2820" width="52.42578125" style="960" customWidth="1"/>
    <col min="2821" max="2822" width="11.7109375" style="960" customWidth="1"/>
    <col min="2823" max="3071" width="9.140625" style="960"/>
    <col min="3072" max="3072" width="5.140625" style="960" customWidth="1"/>
    <col min="3073" max="3073" width="44.5703125" style="960" customWidth="1"/>
    <col min="3074" max="3074" width="14.28515625" style="960" customWidth="1"/>
    <col min="3075" max="3075" width="14.140625" style="960" customWidth="1"/>
    <col min="3076" max="3076" width="52.42578125" style="960" customWidth="1"/>
    <col min="3077" max="3078" width="11.7109375" style="960" customWidth="1"/>
    <col min="3079" max="3327" width="9.140625" style="960"/>
    <col min="3328" max="3328" width="5.140625" style="960" customWidth="1"/>
    <col min="3329" max="3329" width="44.5703125" style="960" customWidth="1"/>
    <col min="3330" max="3330" width="14.28515625" style="960" customWidth="1"/>
    <col min="3331" max="3331" width="14.140625" style="960" customWidth="1"/>
    <col min="3332" max="3332" width="52.42578125" style="960" customWidth="1"/>
    <col min="3333" max="3334" width="11.7109375" style="960" customWidth="1"/>
    <col min="3335" max="3583" width="9.140625" style="960"/>
    <col min="3584" max="3584" width="5.140625" style="960" customWidth="1"/>
    <col min="3585" max="3585" width="44.5703125" style="960" customWidth="1"/>
    <col min="3586" max="3586" width="14.28515625" style="960" customWidth="1"/>
    <col min="3587" max="3587" width="14.140625" style="960" customWidth="1"/>
    <col min="3588" max="3588" width="52.42578125" style="960" customWidth="1"/>
    <col min="3589" max="3590" width="11.7109375" style="960" customWidth="1"/>
    <col min="3591" max="3839" width="9.140625" style="960"/>
    <col min="3840" max="3840" width="5.140625" style="960" customWidth="1"/>
    <col min="3841" max="3841" width="44.5703125" style="960" customWidth="1"/>
    <col min="3842" max="3842" width="14.28515625" style="960" customWidth="1"/>
    <col min="3843" max="3843" width="14.140625" style="960" customWidth="1"/>
    <col min="3844" max="3844" width="52.42578125" style="960" customWidth="1"/>
    <col min="3845" max="3846" width="11.7109375" style="960" customWidth="1"/>
    <col min="3847" max="4095" width="9.140625" style="960"/>
    <col min="4096" max="4096" width="5.140625" style="960" customWidth="1"/>
    <col min="4097" max="4097" width="44.5703125" style="960" customWidth="1"/>
    <col min="4098" max="4098" width="14.28515625" style="960" customWidth="1"/>
    <col min="4099" max="4099" width="14.140625" style="960" customWidth="1"/>
    <col min="4100" max="4100" width="52.42578125" style="960" customWidth="1"/>
    <col min="4101" max="4102" width="11.7109375" style="960" customWidth="1"/>
    <col min="4103" max="4351" width="9.140625" style="960"/>
    <col min="4352" max="4352" width="5.140625" style="960" customWidth="1"/>
    <col min="4353" max="4353" width="44.5703125" style="960" customWidth="1"/>
    <col min="4354" max="4354" width="14.28515625" style="960" customWidth="1"/>
    <col min="4355" max="4355" width="14.140625" style="960" customWidth="1"/>
    <col min="4356" max="4356" width="52.42578125" style="960" customWidth="1"/>
    <col min="4357" max="4358" width="11.7109375" style="960" customWidth="1"/>
    <col min="4359" max="4607" width="9.140625" style="960"/>
    <col min="4608" max="4608" width="5.140625" style="960" customWidth="1"/>
    <col min="4609" max="4609" width="44.5703125" style="960" customWidth="1"/>
    <col min="4610" max="4610" width="14.28515625" style="960" customWidth="1"/>
    <col min="4611" max="4611" width="14.140625" style="960" customWidth="1"/>
    <col min="4612" max="4612" width="52.42578125" style="960" customWidth="1"/>
    <col min="4613" max="4614" width="11.7109375" style="960" customWidth="1"/>
    <col min="4615" max="4863" width="9.140625" style="960"/>
    <col min="4864" max="4864" width="5.140625" style="960" customWidth="1"/>
    <col min="4865" max="4865" width="44.5703125" style="960" customWidth="1"/>
    <col min="4866" max="4866" width="14.28515625" style="960" customWidth="1"/>
    <col min="4867" max="4867" width="14.140625" style="960" customWidth="1"/>
    <col min="4868" max="4868" width="52.42578125" style="960" customWidth="1"/>
    <col min="4869" max="4870" width="11.7109375" style="960" customWidth="1"/>
    <col min="4871" max="5119" width="9.140625" style="960"/>
    <col min="5120" max="5120" width="5.140625" style="960" customWidth="1"/>
    <col min="5121" max="5121" width="44.5703125" style="960" customWidth="1"/>
    <col min="5122" max="5122" width="14.28515625" style="960" customWidth="1"/>
    <col min="5123" max="5123" width="14.140625" style="960" customWidth="1"/>
    <col min="5124" max="5124" width="52.42578125" style="960" customWidth="1"/>
    <col min="5125" max="5126" width="11.7109375" style="960" customWidth="1"/>
    <col min="5127" max="5375" width="9.140625" style="960"/>
    <col min="5376" max="5376" width="5.140625" style="960" customWidth="1"/>
    <col min="5377" max="5377" width="44.5703125" style="960" customWidth="1"/>
    <col min="5378" max="5378" width="14.28515625" style="960" customWidth="1"/>
    <col min="5379" max="5379" width="14.140625" style="960" customWidth="1"/>
    <col min="5380" max="5380" width="52.42578125" style="960" customWidth="1"/>
    <col min="5381" max="5382" width="11.7109375" style="960" customWidth="1"/>
    <col min="5383" max="5631" width="9.140625" style="960"/>
    <col min="5632" max="5632" width="5.140625" style="960" customWidth="1"/>
    <col min="5633" max="5633" width="44.5703125" style="960" customWidth="1"/>
    <col min="5634" max="5634" width="14.28515625" style="960" customWidth="1"/>
    <col min="5635" max="5635" width="14.140625" style="960" customWidth="1"/>
    <col min="5636" max="5636" width="52.42578125" style="960" customWidth="1"/>
    <col min="5637" max="5638" width="11.7109375" style="960" customWidth="1"/>
    <col min="5639" max="5887" width="9.140625" style="960"/>
    <col min="5888" max="5888" width="5.140625" style="960" customWidth="1"/>
    <col min="5889" max="5889" width="44.5703125" style="960" customWidth="1"/>
    <col min="5890" max="5890" width="14.28515625" style="960" customWidth="1"/>
    <col min="5891" max="5891" width="14.140625" style="960" customWidth="1"/>
    <col min="5892" max="5892" width="52.42578125" style="960" customWidth="1"/>
    <col min="5893" max="5894" width="11.7109375" style="960" customWidth="1"/>
    <col min="5895" max="6143" width="9.140625" style="960"/>
    <col min="6144" max="6144" width="5.140625" style="960" customWidth="1"/>
    <col min="6145" max="6145" width="44.5703125" style="960" customWidth="1"/>
    <col min="6146" max="6146" width="14.28515625" style="960" customWidth="1"/>
    <col min="6147" max="6147" width="14.140625" style="960" customWidth="1"/>
    <col min="6148" max="6148" width="52.42578125" style="960" customWidth="1"/>
    <col min="6149" max="6150" width="11.7109375" style="960" customWidth="1"/>
    <col min="6151" max="6399" width="9.140625" style="960"/>
    <col min="6400" max="6400" width="5.140625" style="960" customWidth="1"/>
    <col min="6401" max="6401" width="44.5703125" style="960" customWidth="1"/>
    <col min="6402" max="6402" width="14.28515625" style="960" customWidth="1"/>
    <col min="6403" max="6403" width="14.140625" style="960" customWidth="1"/>
    <col min="6404" max="6404" width="52.42578125" style="960" customWidth="1"/>
    <col min="6405" max="6406" width="11.7109375" style="960" customWidth="1"/>
    <col min="6407" max="6655" width="9.140625" style="960"/>
    <col min="6656" max="6656" width="5.140625" style="960" customWidth="1"/>
    <col min="6657" max="6657" width="44.5703125" style="960" customWidth="1"/>
    <col min="6658" max="6658" width="14.28515625" style="960" customWidth="1"/>
    <col min="6659" max="6659" width="14.140625" style="960" customWidth="1"/>
    <col min="6660" max="6660" width="52.42578125" style="960" customWidth="1"/>
    <col min="6661" max="6662" width="11.7109375" style="960" customWidth="1"/>
    <col min="6663" max="6911" width="9.140625" style="960"/>
    <col min="6912" max="6912" width="5.140625" style="960" customWidth="1"/>
    <col min="6913" max="6913" width="44.5703125" style="960" customWidth="1"/>
    <col min="6914" max="6914" width="14.28515625" style="960" customWidth="1"/>
    <col min="6915" max="6915" width="14.140625" style="960" customWidth="1"/>
    <col min="6916" max="6916" width="52.42578125" style="960" customWidth="1"/>
    <col min="6917" max="6918" width="11.7109375" style="960" customWidth="1"/>
    <col min="6919" max="7167" width="9.140625" style="960"/>
    <col min="7168" max="7168" width="5.140625" style="960" customWidth="1"/>
    <col min="7169" max="7169" width="44.5703125" style="960" customWidth="1"/>
    <col min="7170" max="7170" width="14.28515625" style="960" customWidth="1"/>
    <col min="7171" max="7171" width="14.140625" style="960" customWidth="1"/>
    <col min="7172" max="7172" width="52.42578125" style="960" customWidth="1"/>
    <col min="7173" max="7174" width="11.7109375" style="960" customWidth="1"/>
    <col min="7175" max="7423" width="9.140625" style="960"/>
    <col min="7424" max="7424" width="5.140625" style="960" customWidth="1"/>
    <col min="7425" max="7425" width="44.5703125" style="960" customWidth="1"/>
    <col min="7426" max="7426" width="14.28515625" style="960" customWidth="1"/>
    <col min="7427" max="7427" width="14.140625" style="960" customWidth="1"/>
    <col min="7428" max="7428" width="52.42578125" style="960" customWidth="1"/>
    <col min="7429" max="7430" width="11.7109375" style="960" customWidth="1"/>
    <col min="7431" max="7679" width="9.140625" style="960"/>
    <col min="7680" max="7680" width="5.140625" style="960" customWidth="1"/>
    <col min="7681" max="7681" width="44.5703125" style="960" customWidth="1"/>
    <col min="7682" max="7682" width="14.28515625" style="960" customWidth="1"/>
    <col min="7683" max="7683" width="14.140625" style="960" customWidth="1"/>
    <col min="7684" max="7684" width="52.42578125" style="960" customWidth="1"/>
    <col min="7685" max="7686" width="11.7109375" style="960" customWidth="1"/>
    <col min="7687" max="7935" width="9.140625" style="960"/>
    <col min="7936" max="7936" width="5.140625" style="960" customWidth="1"/>
    <col min="7937" max="7937" width="44.5703125" style="960" customWidth="1"/>
    <col min="7938" max="7938" width="14.28515625" style="960" customWidth="1"/>
    <col min="7939" max="7939" width="14.140625" style="960" customWidth="1"/>
    <col min="7940" max="7940" width="52.42578125" style="960" customWidth="1"/>
    <col min="7941" max="7942" width="11.7109375" style="960" customWidth="1"/>
    <col min="7943" max="8191" width="9.140625" style="960"/>
    <col min="8192" max="8192" width="5.140625" style="960" customWidth="1"/>
    <col min="8193" max="8193" width="44.5703125" style="960" customWidth="1"/>
    <col min="8194" max="8194" width="14.28515625" style="960" customWidth="1"/>
    <col min="8195" max="8195" width="14.140625" style="960" customWidth="1"/>
    <col min="8196" max="8196" width="52.42578125" style="960" customWidth="1"/>
    <col min="8197" max="8198" width="11.7109375" style="960" customWidth="1"/>
    <col min="8199" max="8447" width="9.140625" style="960"/>
    <col min="8448" max="8448" width="5.140625" style="960" customWidth="1"/>
    <col min="8449" max="8449" width="44.5703125" style="960" customWidth="1"/>
    <col min="8450" max="8450" width="14.28515625" style="960" customWidth="1"/>
    <col min="8451" max="8451" width="14.140625" style="960" customWidth="1"/>
    <col min="8452" max="8452" width="52.42578125" style="960" customWidth="1"/>
    <col min="8453" max="8454" width="11.7109375" style="960" customWidth="1"/>
    <col min="8455" max="8703" width="9.140625" style="960"/>
    <col min="8704" max="8704" width="5.140625" style="960" customWidth="1"/>
    <col min="8705" max="8705" width="44.5703125" style="960" customWidth="1"/>
    <col min="8706" max="8706" width="14.28515625" style="960" customWidth="1"/>
    <col min="8707" max="8707" width="14.140625" style="960" customWidth="1"/>
    <col min="8708" max="8708" width="52.42578125" style="960" customWidth="1"/>
    <col min="8709" max="8710" width="11.7109375" style="960" customWidth="1"/>
    <col min="8711" max="8959" width="9.140625" style="960"/>
    <col min="8960" max="8960" width="5.140625" style="960" customWidth="1"/>
    <col min="8961" max="8961" width="44.5703125" style="960" customWidth="1"/>
    <col min="8962" max="8962" width="14.28515625" style="960" customWidth="1"/>
    <col min="8963" max="8963" width="14.140625" style="960" customWidth="1"/>
    <col min="8964" max="8964" width="52.42578125" style="960" customWidth="1"/>
    <col min="8965" max="8966" width="11.7109375" style="960" customWidth="1"/>
    <col min="8967" max="9215" width="9.140625" style="960"/>
    <col min="9216" max="9216" width="5.140625" style="960" customWidth="1"/>
    <col min="9217" max="9217" width="44.5703125" style="960" customWidth="1"/>
    <col min="9218" max="9218" width="14.28515625" style="960" customWidth="1"/>
    <col min="9219" max="9219" width="14.140625" style="960" customWidth="1"/>
    <col min="9220" max="9220" width="52.42578125" style="960" customWidth="1"/>
    <col min="9221" max="9222" width="11.7109375" style="960" customWidth="1"/>
    <col min="9223" max="9471" width="9.140625" style="960"/>
    <col min="9472" max="9472" width="5.140625" style="960" customWidth="1"/>
    <col min="9473" max="9473" width="44.5703125" style="960" customWidth="1"/>
    <col min="9474" max="9474" width="14.28515625" style="960" customWidth="1"/>
    <col min="9475" max="9475" width="14.140625" style="960" customWidth="1"/>
    <col min="9476" max="9476" width="52.42578125" style="960" customWidth="1"/>
    <col min="9477" max="9478" width="11.7109375" style="960" customWidth="1"/>
    <col min="9479" max="9727" width="9.140625" style="960"/>
    <col min="9728" max="9728" width="5.140625" style="960" customWidth="1"/>
    <col min="9729" max="9729" width="44.5703125" style="960" customWidth="1"/>
    <col min="9730" max="9730" width="14.28515625" style="960" customWidth="1"/>
    <col min="9731" max="9731" width="14.140625" style="960" customWidth="1"/>
    <col min="9732" max="9732" width="52.42578125" style="960" customWidth="1"/>
    <col min="9733" max="9734" width="11.7109375" style="960" customWidth="1"/>
    <col min="9735" max="9983" width="9.140625" style="960"/>
    <col min="9984" max="9984" width="5.140625" style="960" customWidth="1"/>
    <col min="9985" max="9985" width="44.5703125" style="960" customWidth="1"/>
    <col min="9986" max="9986" width="14.28515625" style="960" customWidth="1"/>
    <col min="9987" max="9987" width="14.140625" style="960" customWidth="1"/>
    <col min="9988" max="9988" width="52.42578125" style="960" customWidth="1"/>
    <col min="9989" max="9990" width="11.7109375" style="960" customWidth="1"/>
    <col min="9991" max="10239" width="9.140625" style="960"/>
    <col min="10240" max="10240" width="5.140625" style="960" customWidth="1"/>
    <col min="10241" max="10241" width="44.5703125" style="960" customWidth="1"/>
    <col min="10242" max="10242" width="14.28515625" style="960" customWidth="1"/>
    <col min="10243" max="10243" width="14.140625" style="960" customWidth="1"/>
    <col min="10244" max="10244" width="52.42578125" style="960" customWidth="1"/>
    <col min="10245" max="10246" width="11.7109375" style="960" customWidth="1"/>
    <col min="10247" max="10495" width="9.140625" style="960"/>
    <col min="10496" max="10496" width="5.140625" style="960" customWidth="1"/>
    <col min="10497" max="10497" width="44.5703125" style="960" customWidth="1"/>
    <col min="10498" max="10498" width="14.28515625" style="960" customWidth="1"/>
    <col min="10499" max="10499" width="14.140625" style="960" customWidth="1"/>
    <col min="10500" max="10500" width="52.42578125" style="960" customWidth="1"/>
    <col min="10501" max="10502" width="11.7109375" style="960" customWidth="1"/>
    <col min="10503" max="10751" width="9.140625" style="960"/>
    <col min="10752" max="10752" width="5.140625" style="960" customWidth="1"/>
    <col min="10753" max="10753" width="44.5703125" style="960" customWidth="1"/>
    <col min="10754" max="10754" width="14.28515625" style="960" customWidth="1"/>
    <col min="10755" max="10755" width="14.140625" style="960" customWidth="1"/>
    <col min="10756" max="10756" width="52.42578125" style="960" customWidth="1"/>
    <col min="10757" max="10758" width="11.7109375" style="960" customWidth="1"/>
    <col min="10759" max="11007" width="9.140625" style="960"/>
    <col min="11008" max="11008" width="5.140625" style="960" customWidth="1"/>
    <col min="11009" max="11009" width="44.5703125" style="960" customWidth="1"/>
    <col min="11010" max="11010" width="14.28515625" style="960" customWidth="1"/>
    <col min="11011" max="11011" width="14.140625" style="960" customWidth="1"/>
    <col min="11012" max="11012" width="52.42578125" style="960" customWidth="1"/>
    <col min="11013" max="11014" width="11.7109375" style="960" customWidth="1"/>
    <col min="11015" max="11263" width="9.140625" style="960"/>
    <col min="11264" max="11264" width="5.140625" style="960" customWidth="1"/>
    <col min="11265" max="11265" width="44.5703125" style="960" customWidth="1"/>
    <col min="11266" max="11266" width="14.28515625" style="960" customWidth="1"/>
    <col min="11267" max="11267" width="14.140625" style="960" customWidth="1"/>
    <col min="11268" max="11268" width="52.42578125" style="960" customWidth="1"/>
    <col min="11269" max="11270" width="11.7109375" style="960" customWidth="1"/>
    <col min="11271" max="11519" width="9.140625" style="960"/>
    <col min="11520" max="11520" width="5.140625" style="960" customWidth="1"/>
    <col min="11521" max="11521" width="44.5703125" style="960" customWidth="1"/>
    <col min="11522" max="11522" width="14.28515625" style="960" customWidth="1"/>
    <col min="11523" max="11523" width="14.140625" style="960" customWidth="1"/>
    <col min="11524" max="11524" width="52.42578125" style="960" customWidth="1"/>
    <col min="11525" max="11526" width="11.7109375" style="960" customWidth="1"/>
    <col min="11527" max="11775" width="9.140625" style="960"/>
    <col min="11776" max="11776" width="5.140625" style="960" customWidth="1"/>
    <col min="11777" max="11777" width="44.5703125" style="960" customWidth="1"/>
    <col min="11778" max="11778" width="14.28515625" style="960" customWidth="1"/>
    <col min="11779" max="11779" width="14.140625" style="960" customWidth="1"/>
    <col min="11780" max="11780" width="52.42578125" style="960" customWidth="1"/>
    <col min="11781" max="11782" width="11.7109375" style="960" customWidth="1"/>
    <col min="11783" max="12031" width="9.140625" style="960"/>
    <col min="12032" max="12032" width="5.140625" style="960" customWidth="1"/>
    <col min="12033" max="12033" width="44.5703125" style="960" customWidth="1"/>
    <col min="12034" max="12034" width="14.28515625" style="960" customWidth="1"/>
    <col min="12035" max="12035" width="14.140625" style="960" customWidth="1"/>
    <col min="12036" max="12036" width="52.42578125" style="960" customWidth="1"/>
    <col min="12037" max="12038" width="11.7109375" style="960" customWidth="1"/>
    <col min="12039" max="12287" width="9.140625" style="960"/>
    <col min="12288" max="12288" width="5.140625" style="960" customWidth="1"/>
    <col min="12289" max="12289" width="44.5703125" style="960" customWidth="1"/>
    <col min="12290" max="12290" width="14.28515625" style="960" customWidth="1"/>
    <col min="12291" max="12291" width="14.140625" style="960" customWidth="1"/>
    <col min="12292" max="12292" width="52.42578125" style="960" customWidth="1"/>
    <col min="12293" max="12294" width="11.7109375" style="960" customWidth="1"/>
    <col min="12295" max="12543" width="9.140625" style="960"/>
    <col min="12544" max="12544" width="5.140625" style="960" customWidth="1"/>
    <col min="12545" max="12545" width="44.5703125" style="960" customWidth="1"/>
    <col min="12546" max="12546" width="14.28515625" style="960" customWidth="1"/>
    <col min="12547" max="12547" width="14.140625" style="960" customWidth="1"/>
    <col min="12548" max="12548" width="52.42578125" style="960" customWidth="1"/>
    <col min="12549" max="12550" width="11.7109375" style="960" customWidth="1"/>
    <col min="12551" max="12799" width="9.140625" style="960"/>
    <col min="12800" max="12800" width="5.140625" style="960" customWidth="1"/>
    <col min="12801" max="12801" width="44.5703125" style="960" customWidth="1"/>
    <col min="12802" max="12802" width="14.28515625" style="960" customWidth="1"/>
    <col min="12803" max="12803" width="14.140625" style="960" customWidth="1"/>
    <col min="12804" max="12804" width="52.42578125" style="960" customWidth="1"/>
    <col min="12805" max="12806" width="11.7109375" style="960" customWidth="1"/>
    <col min="12807" max="13055" width="9.140625" style="960"/>
    <col min="13056" max="13056" width="5.140625" style="960" customWidth="1"/>
    <col min="13057" max="13057" width="44.5703125" style="960" customWidth="1"/>
    <col min="13058" max="13058" width="14.28515625" style="960" customWidth="1"/>
    <col min="13059" max="13059" width="14.140625" style="960" customWidth="1"/>
    <col min="13060" max="13060" width="52.42578125" style="960" customWidth="1"/>
    <col min="13061" max="13062" width="11.7109375" style="960" customWidth="1"/>
    <col min="13063" max="13311" width="9.140625" style="960"/>
    <col min="13312" max="13312" width="5.140625" style="960" customWidth="1"/>
    <col min="13313" max="13313" width="44.5703125" style="960" customWidth="1"/>
    <col min="13314" max="13314" width="14.28515625" style="960" customWidth="1"/>
    <col min="13315" max="13315" width="14.140625" style="960" customWidth="1"/>
    <col min="13316" max="13316" width="52.42578125" style="960" customWidth="1"/>
    <col min="13317" max="13318" width="11.7109375" style="960" customWidth="1"/>
    <col min="13319" max="13567" width="9.140625" style="960"/>
    <col min="13568" max="13568" width="5.140625" style="960" customWidth="1"/>
    <col min="13569" max="13569" width="44.5703125" style="960" customWidth="1"/>
    <col min="13570" max="13570" width="14.28515625" style="960" customWidth="1"/>
    <col min="13571" max="13571" width="14.140625" style="960" customWidth="1"/>
    <col min="13572" max="13572" width="52.42578125" style="960" customWidth="1"/>
    <col min="13573" max="13574" width="11.7109375" style="960" customWidth="1"/>
    <col min="13575" max="13823" width="9.140625" style="960"/>
    <col min="13824" max="13824" width="5.140625" style="960" customWidth="1"/>
    <col min="13825" max="13825" width="44.5703125" style="960" customWidth="1"/>
    <col min="13826" max="13826" width="14.28515625" style="960" customWidth="1"/>
    <col min="13827" max="13827" width="14.140625" style="960" customWidth="1"/>
    <col min="13828" max="13828" width="52.42578125" style="960" customWidth="1"/>
    <col min="13829" max="13830" width="11.7109375" style="960" customWidth="1"/>
    <col min="13831" max="14079" width="9.140625" style="960"/>
    <col min="14080" max="14080" width="5.140625" style="960" customWidth="1"/>
    <col min="14081" max="14081" width="44.5703125" style="960" customWidth="1"/>
    <col min="14082" max="14082" width="14.28515625" style="960" customWidth="1"/>
    <col min="14083" max="14083" width="14.140625" style="960" customWidth="1"/>
    <col min="14084" max="14084" width="52.42578125" style="960" customWidth="1"/>
    <col min="14085" max="14086" width="11.7109375" style="960" customWidth="1"/>
    <col min="14087" max="14335" width="9.140625" style="960"/>
    <col min="14336" max="14336" width="5.140625" style="960" customWidth="1"/>
    <col min="14337" max="14337" width="44.5703125" style="960" customWidth="1"/>
    <col min="14338" max="14338" width="14.28515625" style="960" customWidth="1"/>
    <col min="14339" max="14339" width="14.140625" style="960" customWidth="1"/>
    <col min="14340" max="14340" width="52.42578125" style="960" customWidth="1"/>
    <col min="14341" max="14342" width="11.7109375" style="960" customWidth="1"/>
    <col min="14343" max="14591" width="9.140625" style="960"/>
    <col min="14592" max="14592" width="5.140625" style="960" customWidth="1"/>
    <col min="14593" max="14593" width="44.5703125" style="960" customWidth="1"/>
    <col min="14594" max="14594" width="14.28515625" style="960" customWidth="1"/>
    <col min="14595" max="14595" width="14.140625" style="960" customWidth="1"/>
    <col min="14596" max="14596" width="52.42578125" style="960" customWidth="1"/>
    <col min="14597" max="14598" width="11.7109375" style="960" customWidth="1"/>
    <col min="14599" max="14847" width="9.140625" style="960"/>
    <col min="14848" max="14848" width="5.140625" style="960" customWidth="1"/>
    <col min="14849" max="14849" width="44.5703125" style="960" customWidth="1"/>
    <col min="14850" max="14850" width="14.28515625" style="960" customWidth="1"/>
    <col min="14851" max="14851" width="14.140625" style="960" customWidth="1"/>
    <col min="14852" max="14852" width="52.42578125" style="960" customWidth="1"/>
    <col min="14853" max="14854" width="11.7109375" style="960" customWidth="1"/>
    <col min="14855" max="15103" width="9.140625" style="960"/>
    <col min="15104" max="15104" width="5.140625" style="960" customWidth="1"/>
    <col min="15105" max="15105" width="44.5703125" style="960" customWidth="1"/>
    <col min="15106" max="15106" width="14.28515625" style="960" customWidth="1"/>
    <col min="15107" max="15107" width="14.140625" style="960" customWidth="1"/>
    <col min="15108" max="15108" width="52.42578125" style="960" customWidth="1"/>
    <col min="15109" max="15110" width="11.7109375" style="960" customWidth="1"/>
    <col min="15111" max="15359" width="9.140625" style="960"/>
    <col min="15360" max="15360" width="5.140625" style="960" customWidth="1"/>
    <col min="15361" max="15361" width="44.5703125" style="960" customWidth="1"/>
    <col min="15362" max="15362" width="14.28515625" style="960" customWidth="1"/>
    <col min="15363" max="15363" width="14.140625" style="960" customWidth="1"/>
    <col min="15364" max="15364" width="52.42578125" style="960" customWidth="1"/>
    <col min="15365" max="15366" width="11.7109375" style="960" customWidth="1"/>
    <col min="15367" max="15615" width="9.140625" style="960"/>
    <col min="15616" max="15616" width="5.140625" style="960" customWidth="1"/>
    <col min="15617" max="15617" width="44.5703125" style="960" customWidth="1"/>
    <col min="15618" max="15618" width="14.28515625" style="960" customWidth="1"/>
    <col min="15619" max="15619" width="14.140625" style="960" customWidth="1"/>
    <col min="15620" max="15620" width="52.42578125" style="960" customWidth="1"/>
    <col min="15621" max="15622" width="11.7109375" style="960" customWidth="1"/>
    <col min="15623" max="15871" width="9.140625" style="960"/>
    <col min="15872" max="15872" width="5.140625" style="960" customWidth="1"/>
    <col min="15873" max="15873" width="44.5703125" style="960" customWidth="1"/>
    <col min="15874" max="15874" width="14.28515625" style="960" customWidth="1"/>
    <col min="15875" max="15875" width="14.140625" style="960" customWidth="1"/>
    <col min="15876" max="15876" width="52.42578125" style="960" customWidth="1"/>
    <col min="15877" max="15878" width="11.7109375" style="960" customWidth="1"/>
    <col min="15879" max="16127" width="9.140625" style="960"/>
    <col min="16128" max="16128" width="5.140625" style="960" customWidth="1"/>
    <col min="16129" max="16129" width="44.5703125" style="960" customWidth="1"/>
    <col min="16130" max="16130" width="14.28515625" style="960" customWidth="1"/>
    <col min="16131" max="16131" width="14.140625" style="960" customWidth="1"/>
    <col min="16132" max="16132" width="52.42578125" style="960" customWidth="1"/>
    <col min="16133" max="16134" width="11.7109375" style="960" customWidth="1"/>
    <col min="16135" max="16384" width="9.140625" style="960"/>
  </cols>
  <sheetData>
    <row r="1" spans="1:7" x14ac:dyDescent="0.2">
      <c r="A1" s="3237"/>
      <c r="B1" s="3237"/>
      <c r="C1" s="3237"/>
      <c r="D1" s="3237"/>
      <c r="E1" s="3237"/>
      <c r="F1" s="3237"/>
    </row>
    <row r="2" spans="1:7" x14ac:dyDescent="0.2">
      <c r="A2" s="3237"/>
      <c r="B2" s="3237"/>
      <c r="C2" s="3237"/>
      <c r="D2" s="3237"/>
      <c r="E2" s="3237"/>
      <c r="F2" s="3237"/>
    </row>
    <row r="3" spans="1:7" x14ac:dyDescent="0.2">
      <c r="A3" s="3237"/>
      <c r="B3" s="3237"/>
      <c r="C3" s="3237"/>
      <c r="D3" s="3237"/>
      <c r="E3" s="3237"/>
      <c r="F3" s="3237"/>
    </row>
    <row r="4" spans="1:7" x14ac:dyDescent="0.2">
      <c r="A4" s="3237"/>
      <c r="B4" s="3237"/>
      <c r="C4" s="3237"/>
      <c r="D4" s="3237"/>
      <c r="E4" s="3237"/>
      <c r="F4" s="3237"/>
    </row>
    <row r="5" spans="1:7" x14ac:dyDescent="0.2">
      <c r="A5" s="3237"/>
      <c r="B5" s="3237"/>
      <c r="C5" s="3237"/>
      <c r="D5" s="3237"/>
      <c r="E5" s="3237"/>
      <c r="F5" s="3237"/>
    </row>
    <row r="6" spans="1:7" ht="12.75" customHeight="1" thickBot="1" x14ac:dyDescent="0.25">
      <c r="A6" s="3238"/>
      <c r="B6" s="3238"/>
      <c r="C6" s="3238"/>
      <c r="D6" s="3238"/>
      <c r="E6" s="3238"/>
      <c r="F6" s="3238"/>
    </row>
    <row r="8" spans="1:7" ht="18" x14ac:dyDescent="0.2">
      <c r="B8" s="961"/>
      <c r="C8" s="962" t="s">
        <v>409</v>
      </c>
      <c r="D8" s="961"/>
      <c r="E8" s="1644"/>
      <c r="F8" s="1645" t="s">
        <v>3084</v>
      </c>
      <c r="G8" s="963"/>
    </row>
    <row r="9" spans="1:7" ht="12.75" customHeight="1" x14ac:dyDescent="0.2">
      <c r="A9" s="3239" t="s">
        <v>410</v>
      </c>
      <c r="B9" s="3240"/>
      <c r="C9" s="3243" t="s">
        <v>400</v>
      </c>
      <c r="D9" s="3243" t="s">
        <v>293</v>
      </c>
      <c r="E9" s="3245" t="s">
        <v>411</v>
      </c>
      <c r="F9" s="3246"/>
    </row>
    <row r="10" spans="1:7" ht="13.5" customHeight="1" x14ac:dyDescent="0.2">
      <c r="A10" s="3241"/>
      <c r="B10" s="3242"/>
      <c r="C10" s="3244"/>
      <c r="D10" s="3244"/>
      <c r="E10" s="1646" t="s">
        <v>412</v>
      </c>
      <c r="F10" s="1646" t="s">
        <v>413</v>
      </c>
    </row>
    <row r="11" spans="1:7" ht="17.25" customHeight="1" x14ac:dyDescent="0.2">
      <c r="A11" s="3258" t="s">
        <v>494</v>
      </c>
      <c r="B11" s="202" t="s">
        <v>495</v>
      </c>
      <c r="C11" s="208" t="s">
        <v>432</v>
      </c>
      <c r="D11" s="3212" t="s">
        <v>496</v>
      </c>
      <c r="E11" s="203">
        <v>5400</v>
      </c>
      <c r="F11" s="191">
        <v>4860</v>
      </c>
    </row>
    <row r="12" spans="1:7" s="967" customFormat="1" ht="15.75" customHeight="1" x14ac:dyDescent="0.25">
      <c r="A12" s="3259"/>
      <c r="B12" s="202" t="s">
        <v>497</v>
      </c>
      <c r="C12" s="195" t="s">
        <v>436</v>
      </c>
      <c r="D12" s="3211"/>
      <c r="E12" s="210">
        <v>5600</v>
      </c>
      <c r="F12" s="203">
        <v>5040</v>
      </c>
    </row>
    <row r="13" spans="1:7" s="967" customFormat="1" ht="15.75" customHeight="1" x14ac:dyDescent="0.25">
      <c r="A13" s="3259"/>
      <c r="B13" s="3230" t="s">
        <v>498</v>
      </c>
      <c r="C13" s="208" t="s">
        <v>432</v>
      </c>
      <c r="D13" s="3262" t="s">
        <v>499</v>
      </c>
      <c r="E13" s="203">
        <v>3700</v>
      </c>
      <c r="F13" s="191">
        <v>3330</v>
      </c>
    </row>
    <row r="14" spans="1:7" s="967" customFormat="1" ht="15" customHeight="1" x14ac:dyDescent="0.25">
      <c r="A14" s="3259"/>
      <c r="B14" s="3261"/>
      <c r="C14" s="208" t="s">
        <v>436</v>
      </c>
      <c r="D14" s="3262"/>
      <c r="E14" s="210">
        <v>3450</v>
      </c>
      <c r="F14" s="203">
        <v>3105</v>
      </c>
    </row>
    <row r="15" spans="1:7" s="967" customFormat="1" ht="15" customHeight="1" x14ac:dyDescent="0.25">
      <c r="A15" s="3259"/>
      <c r="B15" s="207" t="s">
        <v>2542</v>
      </c>
      <c r="C15" s="208" t="s">
        <v>432</v>
      </c>
      <c r="D15" s="3230" t="s">
        <v>501</v>
      </c>
      <c r="E15" s="210">
        <v>3700</v>
      </c>
      <c r="F15" s="2226">
        <v>3330</v>
      </c>
    </row>
    <row r="16" spans="1:7" s="967" customFormat="1" ht="17.25" customHeight="1" x14ac:dyDescent="0.25">
      <c r="A16" s="3259"/>
      <c r="B16" s="207" t="s">
        <v>500</v>
      </c>
      <c r="C16" s="208" t="s">
        <v>432</v>
      </c>
      <c r="D16" s="3231"/>
      <c r="E16" s="203">
        <v>6200</v>
      </c>
      <c r="F16" s="191">
        <v>5580</v>
      </c>
    </row>
    <row r="17" spans="1:6" s="967" customFormat="1" ht="17.25" customHeight="1" x14ac:dyDescent="0.25">
      <c r="A17" s="3259"/>
      <c r="B17" s="207" t="s">
        <v>502</v>
      </c>
      <c r="C17" s="208" t="s">
        <v>432</v>
      </c>
      <c r="D17" s="3231"/>
      <c r="E17" s="203">
        <v>5603</v>
      </c>
      <c r="F17" s="191">
        <v>5043</v>
      </c>
    </row>
    <row r="18" spans="1:6" s="967" customFormat="1" ht="17.25" customHeight="1" x14ac:dyDescent="0.25">
      <c r="A18" s="3259"/>
      <c r="B18" s="207" t="s">
        <v>2365</v>
      </c>
      <c r="C18" s="208" t="s">
        <v>436</v>
      </c>
      <c r="D18" s="3261"/>
      <c r="E18" s="210">
        <v>4259</v>
      </c>
      <c r="F18" s="203">
        <v>3833</v>
      </c>
    </row>
    <row r="19" spans="1:6" s="967" customFormat="1" ht="27.75" customHeight="1" x14ac:dyDescent="0.25">
      <c r="A19" s="3259"/>
      <c r="B19" s="207" t="s">
        <v>503</v>
      </c>
      <c r="C19" s="208" t="s">
        <v>436</v>
      </c>
      <c r="D19" s="223" t="s">
        <v>504</v>
      </c>
      <c r="E19" s="210">
        <v>5600</v>
      </c>
      <c r="F19" s="203">
        <v>5040</v>
      </c>
    </row>
    <row r="20" spans="1:6" s="967" customFormat="1" ht="15.75" customHeight="1" x14ac:dyDescent="0.25">
      <c r="A20" s="3259"/>
      <c r="B20" s="207" t="s">
        <v>505</v>
      </c>
      <c r="C20" s="208" t="s">
        <v>432</v>
      </c>
      <c r="D20" s="209" t="s">
        <v>501</v>
      </c>
      <c r="E20" s="203">
        <v>4800</v>
      </c>
      <c r="F20" s="191">
        <v>4320</v>
      </c>
    </row>
    <row r="21" spans="1:6" s="967" customFormat="1" ht="15.75" customHeight="1" x14ac:dyDescent="0.25">
      <c r="A21" s="3259"/>
      <c r="B21" s="207" t="s">
        <v>2366</v>
      </c>
      <c r="C21" s="208" t="s">
        <v>436</v>
      </c>
      <c r="D21" s="3230" t="s">
        <v>507</v>
      </c>
      <c r="E21" s="210" t="s">
        <v>1746</v>
      </c>
      <c r="F21" s="203" t="s">
        <v>1746</v>
      </c>
    </row>
    <row r="22" spans="1:6" s="967" customFormat="1" ht="15.75" customHeight="1" x14ac:dyDescent="0.25">
      <c r="A22" s="3259"/>
      <c r="B22" s="207" t="s">
        <v>506</v>
      </c>
      <c r="C22" s="208" t="s">
        <v>436</v>
      </c>
      <c r="D22" s="3231"/>
      <c r="E22" s="210" t="s">
        <v>1746</v>
      </c>
      <c r="F22" s="203" t="s">
        <v>1746</v>
      </c>
    </row>
    <row r="23" spans="1:6" s="967" customFormat="1" ht="12.75" customHeight="1" x14ac:dyDescent="0.25">
      <c r="A23" s="3259"/>
      <c r="B23" s="207" t="s">
        <v>505</v>
      </c>
      <c r="C23" s="208" t="s">
        <v>436</v>
      </c>
      <c r="D23" s="3231"/>
      <c r="E23" s="210">
        <v>4500</v>
      </c>
      <c r="F23" s="203">
        <v>4050</v>
      </c>
    </row>
    <row r="24" spans="1:6" s="967" customFormat="1" ht="14.25" customHeight="1" x14ac:dyDescent="0.25">
      <c r="A24" s="3259"/>
      <c r="B24" s="207" t="s">
        <v>1747</v>
      </c>
      <c r="C24" s="208" t="s">
        <v>436</v>
      </c>
      <c r="D24" s="3261"/>
      <c r="E24" s="210">
        <v>5950</v>
      </c>
      <c r="F24" s="203">
        <v>5355</v>
      </c>
    </row>
    <row r="25" spans="1:6" s="967" customFormat="1" ht="15" customHeight="1" x14ac:dyDescent="0.25">
      <c r="A25" s="3259"/>
      <c r="B25" s="207" t="s">
        <v>508</v>
      </c>
      <c r="C25" s="208" t="s">
        <v>436</v>
      </c>
      <c r="D25" s="222" t="s">
        <v>509</v>
      </c>
      <c r="E25" s="203">
        <v>3530</v>
      </c>
      <c r="F25" s="203">
        <v>3177</v>
      </c>
    </row>
    <row r="26" spans="1:6" s="967" customFormat="1" ht="16.5" customHeight="1" x14ac:dyDescent="0.25">
      <c r="A26" s="3259"/>
      <c r="B26" s="207" t="s">
        <v>510</v>
      </c>
      <c r="C26" s="208" t="s">
        <v>436</v>
      </c>
      <c r="D26" s="222" t="s">
        <v>1748</v>
      </c>
      <c r="E26" s="203">
        <v>5420</v>
      </c>
      <c r="F26" s="203">
        <v>4878</v>
      </c>
    </row>
    <row r="27" spans="1:6" s="967" customFormat="1" ht="26.25" customHeight="1" x14ac:dyDescent="0.25">
      <c r="A27" s="3259"/>
      <c r="B27" s="207" t="s">
        <v>512</v>
      </c>
      <c r="C27" s="208" t="s">
        <v>436</v>
      </c>
      <c r="D27" s="222" t="s">
        <v>513</v>
      </c>
      <c r="E27" s="203">
        <v>15480</v>
      </c>
      <c r="F27" s="203">
        <v>13932</v>
      </c>
    </row>
    <row r="28" spans="1:6" s="967" customFormat="1" ht="14.25" customHeight="1" x14ac:dyDescent="0.25">
      <c r="A28" s="3259"/>
      <c r="B28" s="207" t="s">
        <v>514</v>
      </c>
      <c r="C28" s="208" t="s">
        <v>432</v>
      </c>
      <c r="D28" s="3230" t="s">
        <v>1749</v>
      </c>
      <c r="E28" s="210">
        <v>10950</v>
      </c>
      <c r="F28" s="203">
        <v>9855</v>
      </c>
    </row>
    <row r="29" spans="1:6" s="967" customFormat="1" ht="15.75" customHeight="1" x14ac:dyDescent="0.25">
      <c r="A29" s="3259"/>
      <c r="B29" s="207" t="s">
        <v>515</v>
      </c>
      <c r="C29" s="208" t="s">
        <v>436</v>
      </c>
      <c r="D29" s="3261"/>
      <c r="E29" s="203">
        <v>14700</v>
      </c>
      <c r="F29" s="191">
        <v>13230</v>
      </c>
    </row>
    <row r="30" spans="1:6" s="967" customFormat="1" ht="17.25" customHeight="1" x14ac:dyDescent="0.25">
      <c r="A30" s="3259"/>
      <c r="B30" s="207" t="s">
        <v>516</v>
      </c>
      <c r="C30" s="208" t="s">
        <v>436</v>
      </c>
      <c r="D30" s="3230" t="s">
        <v>511</v>
      </c>
      <c r="E30" s="210">
        <v>14160</v>
      </c>
      <c r="F30" s="203">
        <v>12744</v>
      </c>
    </row>
    <row r="31" spans="1:6" s="967" customFormat="1" x14ac:dyDescent="0.25">
      <c r="A31" s="3259"/>
      <c r="B31" s="207" t="s">
        <v>2367</v>
      </c>
      <c r="C31" s="208" t="s">
        <v>432</v>
      </c>
      <c r="D31" s="3261"/>
      <c r="E31" s="210">
        <v>14160</v>
      </c>
      <c r="F31" s="203">
        <v>12744</v>
      </c>
    </row>
    <row r="32" spans="1:6" s="967" customFormat="1" x14ac:dyDescent="0.25">
      <c r="A32" s="3259"/>
      <c r="B32" s="202" t="s">
        <v>1750</v>
      </c>
      <c r="C32" s="3263" t="s">
        <v>436</v>
      </c>
      <c r="D32" s="3212" t="s">
        <v>517</v>
      </c>
      <c r="E32" s="210">
        <v>8200</v>
      </c>
      <c r="F32" s="203">
        <v>7380</v>
      </c>
    </row>
    <row r="33" spans="1:6" s="967" customFormat="1" ht="15" customHeight="1" x14ac:dyDescent="0.25">
      <c r="A33" s="3259"/>
      <c r="B33" s="202" t="s">
        <v>518</v>
      </c>
      <c r="C33" s="3264"/>
      <c r="D33" s="3211"/>
      <c r="E33" s="203">
        <v>6400</v>
      </c>
      <c r="F33" s="203">
        <v>5760</v>
      </c>
    </row>
    <row r="34" spans="1:6" s="967" customFormat="1" ht="28.5" customHeight="1" x14ac:dyDescent="0.25">
      <c r="A34" s="3259"/>
      <c r="B34" s="202" t="s">
        <v>2543</v>
      </c>
      <c r="C34" s="2071" t="s">
        <v>436</v>
      </c>
      <c r="D34" s="1652" t="s">
        <v>2484</v>
      </c>
      <c r="E34" s="203">
        <v>10800</v>
      </c>
      <c r="F34" s="203">
        <v>9720</v>
      </c>
    </row>
    <row r="35" spans="1:6" s="967" customFormat="1" x14ac:dyDescent="0.25">
      <c r="A35" s="3259"/>
      <c r="B35" s="202" t="s">
        <v>2368</v>
      </c>
      <c r="C35" s="2071" t="s">
        <v>436</v>
      </c>
      <c r="D35" s="3212" t="s">
        <v>519</v>
      </c>
      <c r="E35" s="210">
        <v>2871</v>
      </c>
      <c r="F35" s="203">
        <v>2584</v>
      </c>
    </row>
    <row r="36" spans="1:6" s="967" customFormat="1" ht="23.25" customHeight="1" x14ac:dyDescent="0.25">
      <c r="A36" s="3259"/>
      <c r="B36" s="202" t="s">
        <v>520</v>
      </c>
      <c r="C36" s="2071" t="s">
        <v>436</v>
      </c>
      <c r="D36" s="3211"/>
      <c r="E36" s="203">
        <v>3350</v>
      </c>
      <c r="F36" s="203">
        <v>3015</v>
      </c>
    </row>
    <row r="37" spans="1:6" x14ac:dyDescent="0.2">
      <c r="A37" s="3259"/>
      <c r="B37" s="202" t="s">
        <v>2369</v>
      </c>
      <c r="C37" s="2073" t="s">
        <v>436</v>
      </c>
      <c r="D37" s="204" t="s">
        <v>521</v>
      </c>
      <c r="E37" s="210">
        <v>2817</v>
      </c>
      <c r="F37" s="203">
        <v>2535</v>
      </c>
    </row>
    <row r="38" spans="1:6" ht="27" customHeight="1" thickBot="1" x14ac:dyDescent="0.25">
      <c r="A38" s="3260"/>
      <c r="B38" s="212" t="s">
        <v>522</v>
      </c>
      <c r="C38" s="224" t="s">
        <v>432</v>
      </c>
      <c r="D38" s="225" t="s">
        <v>496</v>
      </c>
      <c r="E38" s="210">
        <v>12750</v>
      </c>
      <c r="F38" s="203">
        <v>11475</v>
      </c>
    </row>
    <row r="39" spans="1:6" s="967" customFormat="1" ht="28.5" customHeight="1" x14ac:dyDescent="0.25">
      <c r="A39" s="3249" t="s">
        <v>534</v>
      </c>
      <c r="B39" s="227" t="s">
        <v>535</v>
      </c>
      <c r="C39" s="228" t="s">
        <v>536</v>
      </c>
      <c r="D39" s="238" t="s">
        <v>3100</v>
      </c>
      <c r="E39" s="211">
        <v>8470</v>
      </c>
      <c r="F39" s="211">
        <v>7623</v>
      </c>
    </row>
    <row r="40" spans="1:6" s="967" customFormat="1" ht="20.25" customHeight="1" x14ac:dyDescent="0.25">
      <c r="A40" s="3250"/>
      <c r="B40" s="177" t="s">
        <v>2370</v>
      </c>
      <c r="C40" s="194" t="s">
        <v>536</v>
      </c>
      <c r="D40" s="177" t="s">
        <v>3101</v>
      </c>
      <c r="E40" s="2078">
        <v>1654</v>
      </c>
      <c r="F40" s="2078">
        <v>1489</v>
      </c>
    </row>
    <row r="41" spans="1:6" s="967" customFormat="1" ht="32.25" customHeight="1" thickBot="1" x14ac:dyDescent="0.3">
      <c r="A41" s="3251"/>
      <c r="B41" s="239" t="s">
        <v>2448</v>
      </c>
      <c r="C41" s="198" t="s">
        <v>446</v>
      </c>
      <c r="D41" s="239" t="s">
        <v>2069</v>
      </c>
      <c r="E41" s="189">
        <v>12460</v>
      </c>
      <c r="F41" s="189">
        <v>11214</v>
      </c>
    </row>
    <row r="42" spans="1:6" s="967" customFormat="1" ht="15.75" customHeight="1" x14ac:dyDescent="0.25">
      <c r="A42" s="3252" t="s">
        <v>537</v>
      </c>
      <c r="B42" s="234" t="s">
        <v>1751</v>
      </c>
      <c r="C42" s="235" t="s">
        <v>432</v>
      </c>
      <c r="D42" s="3255" t="s">
        <v>538</v>
      </c>
      <c r="E42" s="211">
        <v>4400</v>
      </c>
      <c r="F42" s="211">
        <v>3960</v>
      </c>
    </row>
    <row r="43" spans="1:6" s="967" customFormat="1" ht="15.75" customHeight="1" x14ac:dyDescent="0.25">
      <c r="A43" s="3253"/>
      <c r="B43" s="180" t="s">
        <v>3102</v>
      </c>
      <c r="C43" s="182" t="s">
        <v>432</v>
      </c>
      <c r="D43" s="3256"/>
      <c r="E43" s="2210">
        <v>2470</v>
      </c>
      <c r="F43" s="191">
        <v>2223</v>
      </c>
    </row>
    <row r="44" spans="1:6" s="967" customFormat="1" ht="15.75" customHeight="1" x14ac:dyDescent="0.25">
      <c r="A44" s="3253"/>
      <c r="B44" s="180" t="s">
        <v>3103</v>
      </c>
      <c r="C44" s="182" t="s">
        <v>432</v>
      </c>
      <c r="D44" s="3256"/>
      <c r="E44" s="2210">
        <v>2200</v>
      </c>
      <c r="F44" s="191">
        <v>1980</v>
      </c>
    </row>
    <row r="45" spans="1:6" s="967" customFormat="1" ht="14.25" customHeight="1" x14ac:dyDescent="0.25">
      <c r="A45" s="3253"/>
      <c r="B45" s="180" t="s">
        <v>539</v>
      </c>
      <c r="C45" s="182" t="s">
        <v>432</v>
      </c>
      <c r="D45" s="3256"/>
      <c r="E45" s="2210">
        <v>2750</v>
      </c>
      <c r="F45" s="191">
        <v>2475</v>
      </c>
    </row>
    <row r="46" spans="1:6" s="967" customFormat="1" ht="26.25" thickBot="1" x14ac:dyDescent="0.3">
      <c r="A46" s="3254"/>
      <c r="B46" s="236" t="s">
        <v>540</v>
      </c>
      <c r="C46" s="237" t="s">
        <v>432</v>
      </c>
      <c r="D46" s="231" t="s">
        <v>541</v>
      </c>
      <c r="E46" s="189">
        <v>8600</v>
      </c>
      <c r="F46" s="226">
        <v>7740</v>
      </c>
    </row>
    <row r="47" spans="1:6" s="967" customFormat="1" ht="15.75" customHeight="1" x14ac:dyDescent="0.25">
      <c r="A47" s="3217" t="s">
        <v>3104</v>
      </c>
      <c r="B47" s="238" t="s">
        <v>3105</v>
      </c>
      <c r="C47" s="2089" t="s">
        <v>432</v>
      </c>
      <c r="D47" s="3257" t="s">
        <v>542</v>
      </c>
      <c r="E47" s="2224">
        <v>4100</v>
      </c>
      <c r="F47" s="211">
        <v>3690</v>
      </c>
    </row>
    <row r="48" spans="1:6" s="967" customFormat="1" x14ac:dyDescent="0.25">
      <c r="A48" s="3253"/>
      <c r="B48" s="177" t="s">
        <v>3106</v>
      </c>
      <c r="C48" s="2075" t="s">
        <v>432</v>
      </c>
      <c r="D48" s="3223"/>
      <c r="E48" s="185">
        <v>4400</v>
      </c>
      <c r="F48" s="2225">
        <v>3960</v>
      </c>
    </row>
    <row r="49" spans="1:8" s="967" customFormat="1" x14ac:dyDescent="0.25">
      <c r="A49" s="3253"/>
      <c r="B49" s="177" t="s">
        <v>3107</v>
      </c>
      <c r="C49" s="2075" t="s">
        <v>405</v>
      </c>
      <c r="D49" s="3223"/>
      <c r="E49" s="193">
        <v>1300</v>
      </c>
      <c r="F49" s="2210">
        <v>1170</v>
      </c>
    </row>
    <row r="50" spans="1:8" s="967" customFormat="1" x14ac:dyDescent="0.25">
      <c r="A50" s="3253"/>
      <c r="B50" s="177" t="s">
        <v>3108</v>
      </c>
      <c r="C50" s="2075" t="s">
        <v>405</v>
      </c>
      <c r="D50" s="3222"/>
      <c r="E50" s="193">
        <v>1300</v>
      </c>
      <c r="F50" s="2210">
        <v>1170</v>
      </c>
    </row>
    <row r="51" spans="1:8" s="967" customFormat="1" x14ac:dyDescent="0.25">
      <c r="A51" s="3253"/>
      <c r="B51" s="177" t="s">
        <v>3109</v>
      </c>
      <c r="C51" s="2075" t="s">
        <v>432</v>
      </c>
      <c r="D51" s="3221" t="s">
        <v>3110</v>
      </c>
      <c r="E51" s="193">
        <v>1650</v>
      </c>
      <c r="F51" s="2210">
        <v>1485</v>
      </c>
    </row>
    <row r="52" spans="1:8" s="967" customFormat="1" x14ac:dyDescent="0.25">
      <c r="A52" s="3253"/>
      <c r="B52" s="177" t="s">
        <v>3111</v>
      </c>
      <c r="C52" s="2075" t="s">
        <v>432</v>
      </c>
      <c r="D52" s="3222"/>
      <c r="E52" s="193">
        <v>1600</v>
      </c>
      <c r="F52" s="2210">
        <v>1440</v>
      </c>
    </row>
    <row r="53" spans="1:8" s="967" customFormat="1" ht="25.5" x14ac:dyDescent="0.25">
      <c r="A53" s="3253"/>
      <c r="B53" s="177" t="s">
        <v>3112</v>
      </c>
      <c r="C53" s="2075" t="s">
        <v>432</v>
      </c>
      <c r="D53" s="177" t="s">
        <v>3113</v>
      </c>
      <c r="E53" s="193">
        <v>1250</v>
      </c>
      <c r="F53" s="2210">
        <v>1125</v>
      </c>
    </row>
    <row r="54" spans="1:8" s="967" customFormat="1" ht="25.5" x14ac:dyDescent="0.25">
      <c r="A54" s="3253"/>
      <c r="B54" s="177" t="s">
        <v>3114</v>
      </c>
      <c r="C54" s="2075" t="s">
        <v>432</v>
      </c>
      <c r="D54" s="177" t="s">
        <v>3115</v>
      </c>
      <c r="E54" s="193">
        <v>1550</v>
      </c>
      <c r="F54" s="2210">
        <v>1395</v>
      </c>
    </row>
    <row r="55" spans="1:8" s="967" customFormat="1" x14ac:dyDescent="0.25">
      <c r="A55" s="3253"/>
      <c r="B55" s="177" t="s">
        <v>3116</v>
      </c>
      <c r="C55" s="2075" t="s">
        <v>432</v>
      </c>
      <c r="D55" s="3221" t="s">
        <v>3117</v>
      </c>
      <c r="E55" s="193">
        <v>2800</v>
      </c>
      <c r="F55" s="2210">
        <v>2520</v>
      </c>
    </row>
    <row r="56" spans="1:8" s="967" customFormat="1" x14ac:dyDescent="0.25">
      <c r="A56" s="3253"/>
      <c r="B56" s="177" t="s">
        <v>3118</v>
      </c>
      <c r="C56" s="2075" t="s">
        <v>432</v>
      </c>
      <c r="D56" s="3222"/>
      <c r="E56" s="193">
        <v>1800</v>
      </c>
      <c r="F56" s="2210">
        <v>1620</v>
      </c>
    </row>
    <row r="57" spans="1:8" s="967" customFormat="1" ht="13.5" thickBot="1" x14ac:dyDescent="0.3">
      <c r="A57" s="3253"/>
      <c r="B57" s="177" t="s">
        <v>3119</v>
      </c>
      <c r="C57" s="2075" t="s">
        <v>432</v>
      </c>
      <c r="D57" s="177" t="s">
        <v>3120</v>
      </c>
      <c r="E57" s="193">
        <v>1200</v>
      </c>
      <c r="F57" s="2210">
        <v>1080</v>
      </c>
    </row>
    <row r="58" spans="1:8" s="967" customFormat="1" ht="25.5" x14ac:dyDescent="0.25">
      <c r="A58" s="3206" t="s">
        <v>555</v>
      </c>
      <c r="B58" s="2090" t="s">
        <v>556</v>
      </c>
      <c r="C58" s="2091" t="s">
        <v>544</v>
      </c>
      <c r="D58" s="2092" t="s">
        <v>557</v>
      </c>
      <c r="E58" s="211">
        <v>13990</v>
      </c>
      <c r="F58" s="211">
        <v>12591</v>
      </c>
      <c r="H58" s="968"/>
    </row>
    <row r="59" spans="1:8" s="967" customFormat="1" ht="25.5" x14ac:dyDescent="0.25">
      <c r="A59" s="3207"/>
      <c r="B59" s="192" t="s">
        <v>558</v>
      </c>
      <c r="C59" s="1702" t="s">
        <v>544</v>
      </c>
      <c r="D59" s="241" t="s">
        <v>559</v>
      </c>
      <c r="E59" s="2078">
        <v>14490</v>
      </c>
      <c r="F59" s="191">
        <v>13041</v>
      </c>
    </row>
    <row r="60" spans="1:8" s="967" customFormat="1" ht="25.5" x14ac:dyDescent="0.25">
      <c r="A60" s="3207"/>
      <c r="B60" s="192" t="s">
        <v>560</v>
      </c>
      <c r="C60" s="1702" t="s">
        <v>544</v>
      </c>
      <c r="D60" s="3247" t="s">
        <v>561</v>
      </c>
      <c r="E60" s="2078">
        <v>17790</v>
      </c>
      <c r="F60" s="191">
        <v>16011</v>
      </c>
      <c r="H60" s="968"/>
    </row>
    <row r="61" spans="1:8" s="967" customFormat="1" ht="25.5" x14ac:dyDescent="0.25">
      <c r="A61" s="3207"/>
      <c r="B61" s="192" t="s">
        <v>562</v>
      </c>
      <c r="C61" s="1702" t="s">
        <v>544</v>
      </c>
      <c r="D61" s="3248"/>
      <c r="E61" s="2078">
        <v>21990</v>
      </c>
      <c r="F61" s="191">
        <v>19791</v>
      </c>
      <c r="H61" s="968"/>
    </row>
    <row r="62" spans="1:8" s="967" customFormat="1" ht="25.5" x14ac:dyDescent="0.25">
      <c r="A62" s="3207"/>
      <c r="B62" s="242" t="s">
        <v>563</v>
      </c>
      <c r="C62" s="243" t="s">
        <v>544</v>
      </c>
      <c r="D62" s="241" t="s">
        <v>564</v>
      </c>
      <c r="E62" s="193">
        <v>800</v>
      </c>
      <c r="F62" s="191">
        <v>720</v>
      </c>
      <c r="H62" s="968"/>
    </row>
    <row r="63" spans="1:8" s="967" customFormat="1" ht="25.5" x14ac:dyDescent="0.25">
      <c r="A63" s="3207"/>
      <c r="B63" s="242" t="s">
        <v>565</v>
      </c>
      <c r="C63" s="243" t="s">
        <v>544</v>
      </c>
      <c r="D63" s="241" t="s">
        <v>566</v>
      </c>
      <c r="E63" s="193">
        <v>1000</v>
      </c>
      <c r="F63" s="191">
        <v>900</v>
      </c>
      <c r="H63" s="968"/>
    </row>
    <row r="64" spans="1:8" s="967" customFormat="1" x14ac:dyDescent="0.25">
      <c r="A64" s="3207"/>
      <c r="B64" s="244" t="s">
        <v>2544</v>
      </c>
      <c r="C64" s="243" t="s">
        <v>544</v>
      </c>
      <c r="D64" s="241" t="s">
        <v>2371</v>
      </c>
      <c r="E64" s="193">
        <v>1990</v>
      </c>
      <c r="F64" s="191">
        <v>1791</v>
      </c>
      <c r="H64" s="968"/>
    </row>
    <row r="65" spans="1:8" s="967" customFormat="1" x14ac:dyDescent="0.25">
      <c r="A65" s="3207"/>
      <c r="B65" s="244" t="s">
        <v>567</v>
      </c>
      <c r="C65" s="243" t="s">
        <v>544</v>
      </c>
      <c r="D65" s="241" t="s">
        <v>568</v>
      </c>
      <c r="E65" s="2078">
        <v>2490</v>
      </c>
      <c r="F65" s="191">
        <v>2241</v>
      </c>
      <c r="H65" s="968"/>
    </row>
    <row r="66" spans="1:8" s="967" customFormat="1" x14ac:dyDescent="0.25">
      <c r="A66" s="3207"/>
      <c r="B66" s="244" t="s">
        <v>2545</v>
      </c>
      <c r="C66" s="243" t="s">
        <v>544</v>
      </c>
      <c r="D66" s="241" t="s">
        <v>2372</v>
      </c>
      <c r="E66" s="2078">
        <v>2590</v>
      </c>
      <c r="F66" s="191">
        <v>2331</v>
      </c>
      <c r="H66" s="968"/>
    </row>
    <row r="67" spans="1:8" s="967" customFormat="1" ht="15" customHeight="1" x14ac:dyDescent="0.25">
      <c r="A67" s="3207"/>
      <c r="B67" s="244" t="s">
        <v>569</v>
      </c>
      <c r="C67" s="1702" t="s">
        <v>544</v>
      </c>
      <c r="D67" s="241" t="s">
        <v>570</v>
      </c>
      <c r="E67" s="2078">
        <v>3490</v>
      </c>
      <c r="F67" s="191">
        <v>3141</v>
      </c>
      <c r="H67" s="968"/>
    </row>
    <row r="68" spans="1:8" s="967" customFormat="1" x14ac:dyDescent="0.25">
      <c r="A68" s="3207"/>
      <c r="B68" s="244" t="s">
        <v>571</v>
      </c>
      <c r="C68" s="1702" t="s">
        <v>544</v>
      </c>
      <c r="D68" s="241" t="s">
        <v>572</v>
      </c>
      <c r="E68" s="2078">
        <v>2990</v>
      </c>
      <c r="F68" s="191">
        <v>2691</v>
      </c>
      <c r="H68" s="968"/>
    </row>
    <row r="69" spans="1:8" s="967" customFormat="1" x14ac:dyDescent="0.25">
      <c r="A69" s="3207"/>
      <c r="B69" s="244" t="s">
        <v>573</v>
      </c>
      <c r="C69" s="1702" t="s">
        <v>544</v>
      </c>
      <c r="D69" s="241" t="s">
        <v>574</v>
      </c>
      <c r="E69" s="2078">
        <v>4290</v>
      </c>
      <c r="F69" s="191">
        <v>3861</v>
      </c>
      <c r="H69" s="968"/>
    </row>
    <row r="70" spans="1:8" s="967" customFormat="1" x14ac:dyDescent="0.25">
      <c r="A70" s="3207"/>
      <c r="B70" s="244" t="s">
        <v>575</v>
      </c>
      <c r="C70" s="1702" t="s">
        <v>544</v>
      </c>
      <c r="D70" s="3247" t="s">
        <v>576</v>
      </c>
      <c r="E70" s="2078">
        <v>3890</v>
      </c>
      <c r="F70" s="191">
        <v>3501</v>
      </c>
      <c r="H70" s="968"/>
    </row>
    <row r="71" spans="1:8" s="967" customFormat="1" x14ac:dyDescent="0.25">
      <c r="A71" s="3207"/>
      <c r="B71" s="244" t="s">
        <v>577</v>
      </c>
      <c r="C71" s="1702" t="s">
        <v>544</v>
      </c>
      <c r="D71" s="3248"/>
      <c r="E71" s="2078">
        <v>4190</v>
      </c>
      <c r="F71" s="191">
        <v>3771</v>
      </c>
      <c r="H71" s="968"/>
    </row>
    <row r="72" spans="1:8" s="967" customFormat="1" ht="25.5" x14ac:dyDescent="0.25">
      <c r="A72" s="3207"/>
      <c r="B72" s="244" t="s">
        <v>2546</v>
      </c>
      <c r="C72" s="1702" t="s">
        <v>544</v>
      </c>
      <c r="D72" s="1617" t="s">
        <v>2373</v>
      </c>
      <c r="E72" s="2078">
        <v>1490</v>
      </c>
      <c r="F72" s="191">
        <v>1341</v>
      </c>
      <c r="H72" s="968"/>
    </row>
    <row r="73" spans="1:8" s="967" customFormat="1" x14ac:dyDescent="0.25">
      <c r="A73" s="3207"/>
      <c r="B73" s="242" t="s">
        <v>3121</v>
      </c>
      <c r="C73" s="1702" t="s">
        <v>544</v>
      </c>
      <c r="D73" s="3247" t="s">
        <v>2547</v>
      </c>
      <c r="E73" s="2078">
        <v>1690</v>
      </c>
      <c r="F73" s="191">
        <v>1521</v>
      </c>
      <c r="H73" s="968"/>
    </row>
    <row r="74" spans="1:8" s="967" customFormat="1" x14ac:dyDescent="0.25">
      <c r="A74" s="3207"/>
      <c r="B74" s="242" t="s">
        <v>3122</v>
      </c>
      <c r="C74" s="1702" t="s">
        <v>544</v>
      </c>
      <c r="D74" s="3248"/>
      <c r="E74" s="2210">
        <v>1690</v>
      </c>
      <c r="F74" s="191">
        <v>1521</v>
      </c>
      <c r="H74" s="968"/>
    </row>
    <row r="75" spans="1:8" s="967" customFormat="1" x14ac:dyDescent="0.25">
      <c r="A75" s="3207"/>
      <c r="B75" s="242" t="s">
        <v>3123</v>
      </c>
      <c r="C75" s="1702" t="s">
        <v>544</v>
      </c>
      <c r="D75" s="1617" t="s">
        <v>2548</v>
      </c>
      <c r="E75" s="2210">
        <v>290</v>
      </c>
      <c r="F75" s="191">
        <v>261</v>
      </c>
      <c r="H75" s="968"/>
    </row>
    <row r="76" spans="1:8" s="967" customFormat="1" x14ac:dyDescent="0.25">
      <c r="A76" s="3207"/>
      <c r="B76" s="242" t="s">
        <v>3124</v>
      </c>
      <c r="C76" s="1702" t="s">
        <v>544</v>
      </c>
      <c r="D76" s="1617" t="s">
        <v>3125</v>
      </c>
      <c r="E76" s="2210">
        <v>84</v>
      </c>
      <c r="F76" s="2223">
        <v>75.599999999999994</v>
      </c>
      <c r="H76" s="968"/>
    </row>
    <row r="77" spans="1:8" s="967" customFormat="1" ht="25.5" x14ac:dyDescent="0.25">
      <c r="A77" s="3207"/>
      <c r="B77" s="242" t="s">
        <v>578</v>
      </c>
      <c r="C77" s="182" t="s">
        <v>432</v>
      </c>
      <c r="D77" s="179" t="s">
        <v>579</v>
      </c>
      <c r="E77" s="2078">
        <v>1470</v>
      </c>
      <c r="F77" s="2078">
        <v>1323</v>
      </c>
    </row>
    <row r="78" spans="1:8" s="967" customFormat="1" ht="26.25" thickBot="1" x14ac:dyDescent="0.3">
      <c r="A78" s="3208"/>
      <c r="B78" s="186" t="s">
        <v>580</v>
      </c>
      <c r="C78" s="237" t="s">
        <v>581</v>
      </c>
      <c r="D78" s="231" t="s">
        <v>582</v>
      </c>
      <c r="E78" s="189">
        <v>26000</v>
      </c>
      <c r="F78" s="226">
        <v>23400</v>
      </c>
    </row>
    <row r="80" spans="1:8" ht="12.75" customHeight="1" x14ac:dyDescent="0.2">
      <c r="A80" s="3205" t="s">
        <v>408</v>
      </c>
      <c r="B80" s="3205"/>
      <c r="C80" s="3205"/>
      <c r="D80" s="3205"/>
      <c r="E80" s="3205"/>
      <c r="F80" s="3205"/>
      <c r="G80" s="214"/>
    </row>
    <row r="81" spans="1:7" x14ac:dyDescent="0.2">
      <c r="B81" s="215"/>
      <c r="C81" s="216"/>
      <c r="D81" s="217"/>
      <c r="E81" s="1648"/>
      <c r="F81" s="1648"/>
      <c r="G81" s="218"/>
    </row>
    <row r="82" spans="1:7" x14ac:dyDescent="0.2">
      <c r="A82" s="219" t="s">
        <v>2326</v>
      </c>
      <c r="C82" s="220"/>
      <c r="D82" s="220"/>
      <c r="E82" s="220"/>
      <c r="F82" s="220"/>
      <c r="G82" s="219"/>
    </row>
    <row r="83" spans="1:7" x14ac:dyDescent="0.2">
      <c r="A83" s="221" t="s">
        <v>2364</v>
      </c>
      <c r="C83" s="220"/>
      <c r="D83" s="220"/>
      <c r="E83" s="220"/>
      <c r="F83" s="220"/>
      <c r="G83" s="219"/>
    </row>
    <row r="84" spans="1:7" ht="7.5" customHeight="1" x14ac:dyDescent="0.2">
      <c r="B84" s="220"/>
      <c r="C84" s="219"/>
      <c r="D84" s="219"/>
      <c r="E84" s="1649"/>
      <c r="F84" s="1649"/>
      <c r="G84" s="219"/>
    </row>
    <row r="85" spans="1:7" ht="15" customHeight="1" x14ac:dyDescent="0.2"/>
    <row r="99" ht="38.25" customHeight="1" x14ac:dyDescent="0.2"/>
    <row r="101" ht="25.5" customHeight="1" x14ac:dyDescent="0.2"/>
  </sheetData>
  <mergeCells count="28">
    <mergeCell ref="D35:D36"/>
    <mergeCell ref="A1:F6"/>
    <mergeCell ref="A9:B10"/>
    <mergeCell ref="C9:C10"/>
    <mergeCell ref="D9:D10"/>
    <mergeCell ref="E9:F9"/>
    <mergeCell ref="A11:A38"/>
    <mergeCell ref="D11:D12"/>
    <mergeCell ref="B13:B14"/>
    <mergeCell ref="D13:D14"/>
    <mergeCell ref="D15:D18"/>
    <mergeCell ref="D21:D24"/>
    <mergeCell ref="D28:D29"/>
    <mergeCell ref="D30:D31"/>
    <mergeCell ref="C32:C33"/>
    <mergeCell ref="D32:D33"/>
    <mergeCell ref="A39:A41"/>
    <mergeCell ref="A42:A46"/>
    <mergeCell ref="D42:D45"/>
    <mergeCell ref="A47:A57"/>
    <mergeCell ref="D47:D50"/>
    <mergeCell ref="D51:D52"/>
    <mergeCell ref="D55:D56"/>
    <mergeCell ref="A58:A78"/>
    <mergeCell ref="D60:D61"/>
    <mergeCell ref="D70:D71"/>
    <mergeCell ref="D73:D74"/>
    <mergeCell ref="A80:F80"/>
  </mergeCells>
  <pageMargins left="0.70866141732283472" right="0.39370078740157483" top="0.39370078740157483" bottom="0.39370078740157483" header="0.31496062992125984" footer="0.31496062992125984"/>
  <pageSetup paperSize="9" scale="57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H99"/>
  <sheetViews>
    <sheetView workbookViewId="0">
      <selection sqref="A1:F6"/>
    </sheetView>
  </sheetViews>
  <sheetFormatPr defaultRowHeight="12.75" x14ac:dyDescent="0.2"/>
  <cols>
    <col min="1" max="1" width="5.140625" style="960" customWidth="1"/>
    <col min="2" max="2" width="48.42578125" style="960" customWidth="1"/>
    <col min="3" max="3" width="10.5703125" style="960" customWidth="1"/>
    <col min="4" max="4" width="59" style="960" customWidth="1"/>
    <col min="5" max="6" width="11.7109375" style="1651" customWidth="1"/>
    <col min="7" max="7" width="3" style="960" customWidth="1"/>
    <col min="8" max="8" width="6.140625" style="960" customWidth="1"/>
    <col min="9" max="255" width="9.140625" style="960"/>
    <col min="256" max="256" width="5.140625" style="960" customWidth="1"/>
    <col min="257" max="257" width="44.5703125" style="960" customWidth="1"/>
    <col min="258" max="258" width="14.28515625" style="960" customWidth="1"/>
    <col min="259" max="259" width="14.140625" style="960" customWidth="1"/>
    <col min="260" max="260" width="52.42578125" style="960" customWidth="1"/>
    <col min="261" max="262" width="11.7109375" style="960" customWidth="1"/>
    <col min="263" max="511" width="9.140625" style="960"/>
    <col min="512" max="512" width="5.140625" style="960" customWidth="1"/>
    <col min="513" max="513" width="44.5703125" style="960" customWidth="1"/>
    <col min="514" max="514" width="14.28515625" style="960" customWidth="1"/>
    <col min="515" max="515" width="14.140625" style="960" customWidth="1"/>
    <col min="516" max="516" width="52.42578125" style="960" customWidth="1"/>
    <col min="517" max="518" width="11.7109375" style="960" customWidth="1"/>
    <col min="519" max="767" width="9.140625" style="960"/>
    <col min="768" max="768" width="5.140625" style="960" customWidth="1"/>
    <col min="769" max="769" width="44.5703125" style="960" customWidth="1"/>
    <col min="770" max="770" width="14.28515625" style="960" customWidth="1"/>
    <col min="771" max="771" width="14.140625" style="960" customWidth="1"/>
    <col min="772" max="772" width="52.42578125" style="960" customWidth="1"/>
    <col min="773" max="774" width="11.7109375" style="960" customWidth="1"/>
    <col min="775" max="1023" width="9.140625" style="960"/>
    <col min="1024" max="1024" width="5.140625" style="960" customWidth="1"/>
    <col min="1025" max="1025" width="44.5703125" style="960" customWidth="1"/>
    <col min="1026" max="1026" width="14.28515625" style="960" customWidth="1"/>
    <col min="1027" max="1027" width="14.140625" style="960" customWidth="1"/>
    <col min="1028" max="1028" width="52.42578125" style="960" customWidth="1"/>
    <col min="1029" max="1030" width="11.7109375" style="960" customWidth="1"/>
    <col min="1031" max="1279" width="9.140625" style="960"/>
    <col min="1280" max="1280" width="5.140625" style="960" customWidth="1"/>
    <col min="1281" max="1281" width="44.5703125" style="960" customWidth="1"/>
    <col min="1282" max="1282" width="14.28515625" style="960" customWidth="1"/>
    <col min="1283" max="1283" width="14.140625" style="960" customWidth="1"/>
    <col min="1284" max="1284" width="52.42578125" style="960" customWidth="1"/>
    <col min="1285" max="1286" width="11.7109375" style="960" customWidth="1"/>
    <col min="1287" max="1535" width="9.140625" style="960"/>
    <col min="1536" max="1536" width="5.140625" style="960" customWidth="1"/>
    <col min="1537" max="1537" width="44.5703125" style="960" customWidth="1"/>
    <col min="1538" max="1538" width="14.28515625" style="960" customWidth="1"/>
    <col min="1539" max="1539" width="14.140625" style="960" customWidth="1"/>
    <col min="1540" max="1540" width="52.42578125" style="960" customWidth="1"/>
    <col min="1541" max="1542" width="11.7109375" style="960" customWidth="1"/>
    <col min="1543" max="1791" width="9.140625" style="960"/>
    <col min="1792" max="1792" width="5.140625" style="960" customWidth="1"/>
    <col min="1793" max="1793" width="44.5703125" style="960" customWidth="1"/>
    <col min="1794" max="1794" width="14.28515625" style="960" customWidth="1"/>
    <col min="1795" max="1795" width="14.140625" style="960" customWidth="1"/>
    <col min="1796" max="1796" width="52.42578125" style="960" customWidth="1"/>
    <col min="1797" max="1798" width="11.7109375" style="960" customWidth="1"/>
    <col min="1799" max="2047" width="9.140625" style="960"/>
    <col min="2048" max="2048" width="5.140625" style="960" customWidth="1"/>
    <col min="2049" max="2049" width="44.5703125" style="960" customWidth="1"/>
    <col min="2050" max="2050" width="14.28515625" style="960" customWidth="1"/>
    <col min="2051" max="2051" width="14.140625" style="960" customWidth="1"/>
    <col min="2052" max="2052" width="52.42578125" style="960" customWidth="1"/>
    <col min="2053" max="2054" width="11.7109375" style="960" customWidth="1"/>
    <col min="2055" max="2303" width="9.140625" style="960"/>
    <col min="2304" max="2304" width="5.140625" style="960" customWidth="1"/>
    <col min="2305" max="2305" width="44.5703125" style="960" customWidth="1"/>
    <col min="2306" max="2306" width="14.28515625" style="960" customWidth="1"/>
    <col min="2307" max="2307" width="14.140625" style="960" customWidth="1"/>
    <col min="2308" max="2308" width="52.42578125" style="960" customWidth="1"/>
    <col min="2309" max="2310" width="11.7109375" style="960" customWidth="1"/>
    <col min="2311" max="2559" width="9.140625" style="960"/>
    <col min="2560" max="2560" width="5.140625" style="960" customWidth="1"/>
    <col min="2561" max="2561" width="44.5703125" style="960" customWidth="1"/>
    <col min="2562" max="2562" width="14.28515625" style="960" customWidth="1"/>
    <col min="2563" max="2563" width="14.140625" style="960" customWidth="1"/>
    <col min="2564" max="2564" width="52.42578125" style="960" customWidth="1"/>
    <col min="2565" max="2566" width="11.7109375" style="960" customWidth="1"/>
    <col min="2567" max="2815" width="9.140625" style="960"/>
    <col min="2816" max="2816" width="5.140625" style="960" customWidth="1"/>
    <col min="2817" max="2817" width="44.5703125" style="960" customWidth="1"/>
    <col min="2818" max="2818" width="14.28515625" style="960" customWidth="1"/>
    <col min="2819" max="2819" width="14.140625" style="960" customWidth="1"/>
    <col min="2820" max="2820" width="52.42578125" style="960" customWidth="1"/>
    <col min="2821" max="2822" width="11.7109375" style="960" customWidth="1"/>
    <col min="2823" max="3071" width="9.140625" style="960"/>
    <col min="3072" max="3072" width="5.140625" style="960" customWidth="1"/>
    <col min="3073" max="3073" width="44.5703125" style="960" customWidth="1"/>
    <col min="3074" max="3074" width="14.28515625" style="960" customWidth="1"/>
    <col min="3075" max="3075" width="14.140625" style="960" customWidth="1"/>
    <col min="3076" max="3076" width="52.42578125" style="960" customWidth="1"/>
    <col min="3077" max="3078" width="11.7109375" style="960" customWidth="1"/>
    <col min="3079" max="3327" width="9.140625" style="960"/>
    <col min="3328" max="3328" width="5.140625" style="960" customWidth="1"/>
    <col min="3329" max="3329" width="44.5703125" style="960" customWidth="1"/>
    <col min="3330" max="3330" width="14.28515625" style="960" customWidth="1"/>
    <col min="3331" max="3331" width="14.140625" style="960" customWidth="1"/>
    <col min="3332" max="3332" width="52.42578125" style="960" customWidth="1"/>
    <col min="3333" max="3334" width="11.7109375" style="960" customWidth="1"/>
    <col min="3335" max="3583" width="9.140625" style="960"/>
    <col min="3584" max="3584" width="5.140625" style="960" customWidth="1"/>
    <col min="3585" max="3585" width="44.5703125" style="960" customWidth="1"/>
    <col min="3586" max="3586" width="14.28515625" style="960" customWidth="1"/>
    <col min="3587" max="3587" width="14.140625" style="960" customWidth="1"/>
    <col min="3588" max="3588" width="52.42578125" style="960" customWidth="1"/>
    <col min="3589" max="3590" width="11.7109375" style="960" customWidth="1"/>
    <col min="3591" max="3839" width="9.140625" style="960"/>
    <col min="3840" max="3840" width="5.140625" style="960" customWidth="1"/>
    <col min="3841" max="3841" width="44.5703125" style="960" customWidth="1"/>
    <col min="3842" max="3842" width="14.28515625" style="960" customWidth="1"/>
    <col min="3843" max="3843" width="14.140625" style="960" customWidth="1"/>
    <col min="3844" max="3844" width="52.42578125" style="960" customWidth="1"/>
    <col min="3845" max="3846" width="11.7109375" style="960" customWidth="1"/>
    <col min="3847" max="4095" width="9.140625" style="960"/>
    <col min="4096" max="4096" width="5.140625" style="960" customWidth="1"/>
    <col min="4097" max="4097" width="44.5703125" style="960" customWidth="1"/>
    <col min="4098" max="4098" width="14.28515625" style="960" customWidth="1"/>
    <col min="4099" max="4099" width="14.140625" style="960" customWidth="1"/>
    <col min="4100" max="4100" width="52.42578125" style="960" customWidth="1"/>
    <col min="4101" max="4102" width="11.7109375" style="960" customWidth="1"/>
    <col min="4103" max="4351" width="9.140625" style="960"/>
    <col min="4352" max="4352" width="5.140625" style="960" customWidth="1"/>
    <col min="4353" max="4353" width="44.5703125" style="960" customWidth="1"/>
    <col min="4354" max="4354" width="14.28515625" style="960" customWidth="1"/>
    <col min="4355" max="4355" width="14.140625" style="960" customWidth="1"/>
    <col min="4356" max="4356" width="52.42578125" style="960" customWidth="1"/>
    <col min="4357" max="4358" width="11.7109375" style="960" customWidth="1"/>
    <col min="4359" max="4607" width="9.140625" style="960"/>
    <col min="4608" max="4608" width="5.140625" style="960" customWidth="1"/>
    <col min="4609" max="4609" width="44.5703125" style="960" customWidth="1"/>
    <col min="4610" max="4610" width="14.28515625" style="960" customWidth="1"/>
    <col min="4611" max="4611" width="14.140625" style="960" customWidth="1"/>
    <col min="4612" max="4612" width="52.42578125" style="960" customWidth="1"/>
    <col min="4613" max="4614" width="11.7109375" style="960" customWidth="1"/>
    <col min="4615" max="4863" width="9.140625" style="960"/>
    <col min="4864" max="4864" width="5.140625" style="960" customWidth="1"/>
    <col min="4865" max="4865" width="44.5703125" style="960" customWidth="1"/>
    <col min="4866" max="4866" width="14.28515625" style="960" customWidth="1"/>
    <col min="4867" max="4867" width="14.140625" style="960" customWidth="1"/>
    <col min="4868" max="4868" width="52.42578125" style="960" customWidth="1"/>
    <col min="4869" max="4870" width="11.7109375" style="960" customWidth="1"/>
    <col min="4871" max="5119" width="9.140625" style="960"/>
    <col min="5120" max="5120" width="5.140625" style="960" customWidth="1"/>
    <col min="5121" max="5121" width="44.5703125" style="960" customWidth="1"/>
    <col min="5122" max="5122" width="14.28515625" style="960" customWidth="1"/>
    <col min="5123" max="5123" width="14.140625" style="960" customWidth="1"/>
    <col min="5124" max="5124" width="52.42578125" style="960" customWidth="1"/>
    <col min="5125" max="5126" width="11.7109375" style="960" customWidth="1"/>
    <col min="5127" max="5375" width="9.140625" style="960"/>
    <col min="5376" max="5376" width="5.140625" style="960" customWidth="1"/>
    <col min="5377" max="5377" width="44.5703125" style="960" customWidth="1"/>
    <col min="5378" max="5378" width="14.28515625" style="960" customWidth="1"/>
    <col min="5379" max="5379" width="14.140625" style="960" customWidth="1"/>
    <col min="5380" max="5380" width="52.42578125" style="960" customWidth="1"/>
    <col min="5381" max="5382" width="11.7109375" style="960" customWidth="1"/>
    <col min="5383" max="5631" width="9.140625" style="960"/>
    <col min="5632" max="5632" width="5.140625" style="960" customWidth="1"/>
    <col min="5633" max="5633" width="44.5703125" style="960" customWidth="1"/>
    <col min="5634" max="5634" width="14.28515625" style="960" customWidth="1"/>
    <col min="5635" max="5635" width="14.140625" style="960" customWidth="1"/>
    <col min="5636" max="5636" width="52.42578125" style="960" customWidth="1"/>
    <col min="5637" max="5638" width="11.7109375" style="960" customWidth="1"/>
    <col min="5639" max="5887" width="9.140625" style="960"/>
    <col min="5888" max="5888" width="5.140625" style="960" customWidth="1"/>
    <col min="5889" max="5889" width="44.5703125" style="960" customWidth="1"/>
    <col min="5890" max="5890" width="14.28515625" style="960" customWidth="1"/>
    <col min="5891" max="5891" width="14.140625" style="960" customWidth="1"/>
    <col min="5892" max="5892" width="52.42578125" style="960" customWidth="1"/>
    <col min="5893" max="5894" width="11.7109375" style="960" customWidth="1"/>
    <col min="5895" max="6143" width="9.140625" style="960"/>
    <col min="6144" max="6144" width="5.140625" style="960" customWidth="1"/>
    <col min="6145" max="6145" width="44.5703125" style="960" customWidth="1"/>
    <col min="6146" max="6146" width="14.28515625" style="960" customWidth="1"/>
    <col min="6147" max="6147" width="14.140625" style="960" customWidth="1"/>
    <col min="6148" max="6148" width="52.42578125" style="960" customWidth="1"/>
    <col min="6149" max="6150" width="11.7109375" style="960" customWidth="1"/>
    <col min="6151" max="6399" width="9.140625" style="960"/>
    <col min="6400" max="6400" width="5.140625" style="960" customWidth="1"/>
    <col min="6401" max="6401" width="44.5703125" style="960" customWidth="1"/>
    <col min="6402" max="6402" width="14.28515625" style="960" customWidth="1"/>
    <col min="6403" max="6403" width="14.140625" style="960" customWidth="1"/>
    <col min="6404" max="6404" width="52.42578125" style="960" customWidth="1"/>
    <col min="6405" max="6406" width="11.7109375" style="960" customWidth="1"/>
    <col min="6407" max="6655" width="9.140625" style="960"/>
    <col min="6656" max="6656" width="5.140625" style="960" customWidth="1"/>
    <col min="6657" max="6657" width="44.5703125" style="960" customWidth="1"/>
    <col min="6658" max="6658" width="14.28515625" style="960" customWidth="1"/>
    <col min="6659" max="6659" width="14.140625" style="960" customWidth="1"/>
    <col min="6660" max="6660" width="52.42578125" style="960" customWidth="1"/>
    <col min="6661" max="6662" width="11.7109375" style="960" customWidth="1"/>
    <col min="6663" max="6911" width="9.140625" style="960"/>
    <col min="6912" max="6912" width="5.140625" style="960" customWidth="1"/>
    <col min="6913" max="6913" width="44.5703125" style="960" customWidth="1"/>
    <col min="6914" max="6914" width="14.28515625" style="960" customWidth="1"/>
    <col min="6915" max="6915" width="14.140625" style="960" customWidth="1"/>
    <col min="6916" max="6916" width="52.42578125" style="960" customWidth="1"/>
    <col min="6917" max="6918" width="11.7109375" style="960" customWidth="1"/>
    <col min="6919" max="7167" width="9.140625" style="960"/>
    <col min="7168" max="7168" width="5.140625" style="960" customWidth="1"/>
    <col min="7169" max="7169" width="44.5703125" style="960" customWidth="1"/>
    <col min="7170" max="7170" width="14.28515625" style="960" customWidth="1"/>
    <col min="7171" max="7171" width="14.140625" style="960" customWidth="1"/>
    <col min="7172" max="7172" width="52.42578125" style="960" customWidth="1"/>
    <col min="7173" max="7174" width="11.7109375" style="960" customWidth="1"/>
    <col min="7175" max="7423" width="9.140625" style="960"/>
    <col min="7424" max="7424" width="5.140625" style="960" customWidth="1"/>
    <col min="7425" max="7425" width="44.5703125" style="960" customWidth="1"/>
    <col min="7426" max="7426" width="14.28515625" style="960" customWidth="1"/>
    <col min="7427" max="7427" width="14.140625" style="960" customWidth="1"/>
    <col min="7428" max="7428" width="52.42578125" style="960" customWidth="1"/>
    <col min="7429" max="7430" width="11.7109375" style="960" customWidth="1"/>
    <col min="7431" max="7679" width="9.140625" style="960"/>
    <col min="7680" max="7680" width="5.140625" style="960" customWidth="1"/>
    <col min="7681" max="7681" width="44.5703125" style="960" customWidth="1"/>
    <col min="7682" max="7682" width="14.28515625" style="960" customWidth="1"/>
    <col min="7683" max="7683" width="14.140625" style="960" customWidth="1"/>
    <col min="7684" max="7684" width="52.42578125" style="960" customWidth="1"/>
    <col min="7685" max="7686" width="11.7109375" style="960" customWidth="1"/>
    <col min="7687" max="7935" width="9.140625" style="960"/>
    <col min="7936" max="7936" width="5.140625" style="960" customWidth="1"/>
    <col min="7937" max="7937" width="44.5703125" style="960" customWidth="1"/>
    <col min="7938" max="7938" width="14.28515625" style="960" customWidth="1"/>
    <col min="7939" max="7939" width="14.140625" style="960" customWidth="1"/>
    <col min="7940" max="7940" width="52.42578125" style="960" customWidth="1"/>
    <col min="7941" max="7942" width="11.7109375" style="960" customWidth="1"/>
    <col min="7943" max="8191" width="9.140625" style="960"/>
    <col min="8192" max="8192" width="5.140625" style="960" customWidth="1"/>
    <col min="8193" max="8193" width="44.5703125" style="960" customWidth="1"/>
    <col min="8194" max="8194" width="14.28515625" style="960" customWidth="1"/>
    <col min="8195" max="8195" width="14.140625" style="960" customWidth="1"/>
    <col min="8196" max="8196" width="52.42578125" style="960" customWidth="1"/>
    <col min="8197" max="8198" width="11.7109375" style="960" customWidth="1"/>
    <col min="8199" max="8447" width="9.140625" style="960"/>
    <col min="8448" max="8448" width="5.140625" style="960" customWidth="1"/>
    <col min="8449" max="8449" width="44.5703125" style="960" customWidth="1"/>
    <col min="8450" max="8450" width="14.28515625" style="960" customWidth="1"/>
    <col min="8451" max="8451" width="14.140625" style="960" customWidth="1"/>
    <col min="8452" max="8452" width="52.42578125" style="960" customWidth="1"/>
    <col min="8453" max="8454" width="11.7109375" style="960" customWidth="1"/>
    <col min="8455" max="8703" width="9.140625" style="960"/>
    <col min="8704" max="8704" width="5.140625" style="960" customWidth="1"/>
    <col min="8705" max="8705" width="44.5703125" style="960" customWidth="1"/>
    <col min="8706" max="8706" width="14.28515625" style="960" customWidth="1"/>
    <col min="8707" max="8707" width="14.140625" style="960" customWidth="1"/>
    <col min="8708" max="8708" width="52.42578125" style="960" customWidth="1"/>
    <col min="8709" max="8710" width="11.7109375" style="960" customWidth="1"/>
    <col min="8711" max="8959" width="9.140625" style="960"/>
    <col min="8960" max="8960" width="5.140625" style="960" customWidth="1"/>
    <col min="8961" max="8961" width="44.5703125" style="960" customWidth="1"/>
    <col min="8962" max="8962" width="14.28515625" style="960" customWidth="1"/>
    <col min="8963" max="8963" width="14.140625" style="960" customWidth="1"/>
    <col min="8964" max="8964" width="52.42578125" style="960" customWidth="1"/>
    <col min="8965" max="8966" width="11.7109375" style="960" customWidth="1"/>
    <col min="8967" max="9215" width="9.140625" style="960"/>
    <col min="9216" max="9216" width="5.140625" style="960" customWidth="1"/>
    <col min="9217" max="9217" width="44.5703125" style="960" customWidth="1"/>
    <col min="9218" max="9218" width="14.28515625" style="960" customWidth="1"/>
    <col min="9219" max="9219" width="14.140625" style="960" customWidth="1"/>
    <col min="9220" max="9220" width="52.42578125" style="960" customWidth="1"/>
    <col min="9221" max="9222" width="11.7109375" style="960" customWidth="1"/>
    <col min="9223" max="9471" width="9.140625" style="960"/>
    <col min="9472" max="9472" width="5.140625" style="960" customWidth="1"/>
    <col min="9473" max="9473" width="44.5703125" style="960" customWidth="1"/>
    <col min="9474" max="9474" width="14.28515625" style="960" customWidth="1"/>
    <col min="9475" max="9475" width="14.140625" style="960" customWidth="1"/>
    <col min="9476" max="9476" width="52.42578125" style="960" customWidth="1"/>
    <col min="9477" max="9478" width="11.7109375" style="960" customWidth="1"/>
    <col min="9479" max="9727" width="9.140625" style="960"/>
    <col min="9728" max="9728" width="5.140625" style="960" customWidth="1"/>
    <col min="9729" max="9729" width="44.5703125" style="960" customWidth="1"/>
    <col min="9730" max="9730" width="14.28515625" style="960" customWidth="1"/>
    <col min="9731" max="9731" width="14.140625" style="960" customWidth="1"/>
    <col min="9732" max="9732" width="52.42578125" style="960" customWidth="1"/>
    <col min="9733" max="9734" width="11.7109375" style="960" customWidth="1"/>
    <col min="9735" max="9983" width="9.140625" style="960"/>
    <col min="9984" max="9984" width="5.140625" style="960" customWidth="1"/>
    <col min="9985" max="9985" width="44.5703125" style="960" customWidth="1"/>
    <col min="9986" max="9986" width="14.28515625" style="960" customWidth="1"/>
    <col min="9987" max="9987" width="14.140625" style="960" customWidth="1"/>
    <col min="9988" max="9988" width="52.42578125" style="960" customWidth="1"/>
    <col min="9989" max="9990" width="11.7109375" style="960" customWidth="1"/>
    <col min="9991" max="10239" width="9.140625" style="960"/>
    <col min="10240" max="10240" width="5.140625" style="960" customWidth="1"/>
    <col min="10241" max="10241" width="44.5703125" style="960" customWidth="1"/>
    <col min="10242" max="10242" width="14.28515625" style="960" customWidth="1"/>
    <col min="10243" max="10243" width="14.140625" style="960" customWidth="1"/>
    <col min="10244" max="10244" width="52.42578125" style="960" customWidth="1"/>
    <col min="10245" max="10246" width="11.7109375" style="960" customWidth="1"/>
    <col min="10247" max="10495" width="9.140625" style="960"/>
    <col min="10496" max="10496" width="5.140625" style="960" customWidth="1"/>
    <col min="10497" max="10497" width="44.5703125" style="960" customWidth="1"/>
    <col min="10498" max="10498" width="14.28515625" style="960" customWidth="1"/>
    <col min="10499" max="10499" width="14.140625" style="960" customWidth="1"/>
    <col min="10500" max="10500" width="52.42578125" style="960" customWidth="1"/>
    <col min="10501" max="10502" width="11.7109375" style="960" customWidth="1"/>
    <col min="10503" max="10751" width="9.140625" style="960"/>
    <col min="10752" max="10752" width="5.140625" style="960" customWidth="1"/>
    <col min="10753" max="10753" width="44.5703125" style="960" customWidth="1"/>
    <col min="10754" max="10754" width="14.28515625" style="960" customWidth="1"/>
    <col min="10755" max="10755" width="14.140625" style="960" customWidth="1"/>
    <col min="10756" max="10756" width="52.42578125" style="960" customWidth="1"/>
    <col min="10757" max="10758" width="11.7109375" style="960" customWidth="1"/>
    <col min="10759" max="11007" width="9.140625" style="960"/>
    <col min="11008" max="11008" width="5.140625" style="960" customWidth="1"/>
    <col min="11009" max="11009" width="44.5703125" style="960" customWidth="1"/>
    <col min="11010" max="11010" width="14.28515625" style="960" customWidth="1"/>
    <col min="11011" max="11011" width="14.140625" style="960" customWidth="1"/>
    <col min="11012" max="11012" width="52.42578125" style="960" customWidth="1"/>
    <col min="11013" max="11014" width="11.7109375" style="960" customWidth="1"/>
    <col min="11015" max="11263" width="9.140625" style="960"/>
    <col min="11264" max="11264" width="5.140625" style="960" customWidth="1"/>
    <col min="11265" max="11265" width="44.5703125" style="960" customWidth="1"/>
    <col min="11266" max="11266" width="14.28515625" style="960" customWidth="1"/>
    <col min="11267" max="11267" width="14.140625" style="960" customWidth="1"/>
    <col min="11268" max="11268" width="52.42578125" style="960" customWidth="1"/>
    <col min="11269" max="11270" width="11.7109375" style="960" customWidth="1"/>
    <col min="11271" max="11519" width="9.140625" style="960"/>
    <col min="11520" max="11520" width="5.140625" style="960" customWidth="1"/>
    <col min="11521" max="11521" width="44.5703125" style="960" customWidth="1"/>
    <col min="11522" max="11522" width="14.28515625" style="960" customWidth="1"/>
    <col min="11523" max="11523" width="14.140625" style="960" customWidth="1"/>
    <col min="11524" max="11524" width="52.42578125" style="960" customWidth="1"/>
    <col min="11525" max="11526" width="11.7109375" style="960" customWidth="1"/>
    <col min="11527" max="11775" width="9.140625" style="960"/>
    <col min="11776" max="11776" width="5.140625" style="960" customWidth="1"/>
    <col min="11777" max="11777" width="44.5703125" style="960" customWidth="1"/>
    <col min="11778" max="11778" width="14.28515625" style="960" customWidth="1"/>
    <col min="11779" max="11779" width="14.140625" style="960" customWidth="1"/>
    <col min="11780" max="11780" width="52.42578125" style="960" customWidth="1"/>
    <col min="11781" max="11782" width="11.7109375" style="960" customWidth="1"/>
    <col min="11783" max="12031" width="9.140625" style="960"/>
    <col min="12032" max="12032" width="5.140625" style="960" customWidth="1"/>
    <col min="12033" max="12033" width="44.5703125" style="960" customWidth="1"/>
    <col min="12034" max="12034" width="14.28515625" style="960" customWidth="1"/>
    <col min="12035" max="12035" width="14.140625" style="960" customWidth="1"/>
    <col min="12036" max="12036" width="52.42578125" style="960" customWidth="1"/>
    <col min="12037" max="12038" width="11.7109375" style="960" customWidth="1"/>
    <col min="12039" max="12287" width="9.140625" style="960"/>
    <col min="12288" max="12288" width="5.140625" style="960" customWidth="1"/>
    <col min="12289" max="12289" width="44.5703125" style="960" customWidth="1"/>
    <col min="12290" max="12290" width="14.28515625" style="960" customWidth="1"/>
    <col min="12291" max="12291" width="14.140625" style="960" customWidth="1"/>
    <col min="12292" max="12292" width="52.42578125" style="960" customWidth="1"/>
    <col min="12293" max="12294" width="11.7109375" style="960" customWidth="1"/>
    <col min="12295" max="12543" width="9.140625" style="960"/>
    <col min="12544" max="12544" width="5.140625" style="960" customWidth="1"/>
    <col min="12545" max="12545" width="44.5703125" style="960" customWidth="1"/>
    <col min="12546" max="12546" width="14.28515625" style="960" customWidth="1"/>
    <col min="12547" max="12547" width="14.140625" style="960" customWidth="1"/>
    <col min="12548" max="12548" width="52.42578125" style="960" customWidth="1"/>
    <col min="12549" max="12550" width="11.7109375" style="960" customWidth="1"/>
    <col min="12551" max="12799" width="9.140625" style="960"/>
    <col min="12800" max="12800" width="5.140625" style="960" customWidth="1"/>
    <col min="12801" max="12801" width="44.5703125" style="960" customWidth="1"/>
    <col min="12802" max="12802" width="14.28515625" style="960" customWidth="1"/>
    <col min="12803" max="12803" width="14.140625" style="960" customWidth="1"/>
    <col min="12804" max="12804" width="52.42578125" style="960" customWidth="1"/>
    <col min="12805" max="12806" width="11.7109375" style="960" customWidth="1"/>
    <col min="12807" max="13055" width="9.140625" style="960"/>
    <col min="13056" max="13056" width="5.140625" style="960" customWidth="1"/>
    <col min="13057" max="13057" width="44.5703125" style="960" customWidth="1"/>
    <col min="13058" max="13058" width="14.28515625" style="960" customWidth="1"/>
    <col min="13059" max="13059" width="14.140625" style="960" customWidth="1"/>
    <col min="13060" max="13060" width="52.42578125" style="960" customWidth="1"/>
    <col min="13061" max="13062" width="11.7109375" style="960" customWidth="1"/>
    <col min="13063" max="13311" width="9.140625" style="960"/>
    <col min="13312" max="13312" width="5.140625" style="960" customWidth="1"/>
    <col min="13313" max="13313" width="44.5703125" style="960" customWidth="1"/>
    <col min="13314" max="13314" width="14.28515625" style="960" customWidth="1"/>
    <col min="13315" max="13315" width="14.140625" style="960" customWidth="1"/>
    <col min="13316" max="13316" width="52.42578125" style="960" customWidth="1"/>
    <col min="13317" max="13318" width="11.7109375" style="960" customWidth="1"/>
    <col min="13319" max="13567" width="9.140625" style="960"/>
    <col min="13568" max="13568" width="5.140625" style="960" customWidth="1"/>
    <col min="13569" max="13569" width="44.5703125" style="960" customWidth="1"/>
    <col min="13570" max="13570" width="14.28515625" style="960" customWidth="1"/>
    <col min="13571" max="13571" width="14.140625" style="960" customWidth="1"/>
    <col min="13572" max="13572" width="52.42578125" style="960" customWidth="1"/>
    <col min="13573" max="13574" width="11.7109375" style="960" customWidth="1"/>
    <col min="13575" max="13823" width="9.140625" style="960"/>
    <col min="13824" max="13824" width="5.140625" style="960" customWidth="1"/>
    <col min="13825" max="13825" width="44.5703125" style="960" customWidth="1"/>
    <col min="13826" max="13826" width="14.28515625" style="960" customWidth="1"/>
    <col min="13827" max="13827" width="14.140625" style="960" customWidth="1"/>
    <col min="13828" max="13828" width="52.42578125" style="960" customWidth="1"/>
    <col min="13829" max="13830" width="11.7109375" style="960" customWidth="1"/>
    <col min="13831" max="14079" width="9.140625" style="960"/>
    <col min="14080" max="14080" width="5.140625" style="960" customWidth="1"/>
    <col min="14081" max="14081" width="44.5703125" style="960" customWidth="1"/>
    <col min="14082" max="14082" width="14.28515625" style="960" customWidth="1"/>
    <col min="14083" max="14083" width="14.140625" style="960" customWidth="1"/>
    <col min="14084" max="14084" width="52.42578125" style="960" customWidth="1"/>
    <col min="14085" max="14086" width="11.7109375" style="960" customWidth="1"/>
    <col min="14087" max="14335" width="9.140625" style="960"/>
    <col min="14336" max="14336" width="5.140625" style="960" customWidth="1"/>
    <col min="14337" max="14337" width="44.5703125" style="960" customWidth="1"/>
    <col min="14338" max="14338" width="14.28515625" style="960" customWidth="1"/>
    <col min="14339" max="14339" width="14.140625" style="960" customWidth="1"/>
    <col min="14340" max="14340" width="52.42578125" style="960" customWidth="1"/>
    <col min="14341" max="14342" width="11.7109375" style="960" customWidth="1"/>
    <col min="14343" max="14591" width="9.140625" style="960"/>
    <col min="14592" max="14592" width="5.140625" style="960" customWidth="1"/>
    <col min="14593" max="14593" width="44.5703125" style="960" customWidth="1"/>
    <col min="14594" max="14594" width="14.28515625" style="960" customWidth="1"/>
    <col min="14595" max="14595" width="14.140625" style="960" customWidth="1"/>
    <col min="14596" max="14596" width="52.42578125" style="960" customWidth="1"/>
    <col min="14597" max="14598" width="11.7109375" style="960" customWidth="1"/>
    <col min="14599" max="14847" width="9.140625" style="960"/>
    <col min="14848" max="14848" width="5.140625" style="960" customWidth="1"/>
    <col min="14849" max="14849" width="44.5703125" style="960" customWidth="1"/>
    <col min="14850" max="14850" width="14.28515625" style="960" customWidth="1"/>
    <col min="14851" max="14851" width="14.140625" style="960" customWidth="1"/>
    <col min="14852" max="14852" width="52.42578125" style="960" customWidth="1"/>
    <col min="14853" max="14854" width="11.7109375" style="960" customWidth="1"/>
    <col min="14855" max="15103" width="9.140625" style="960"/>
    <col min="15104" max="15104" width="5.140625" style="960" customWidth="1"/>
    <col min="15105" max="15105" width="44.5703125" style="960" customWidth="1"/>
    <col min="15106" max="15106" width="14.28515625" style="960" customWidth="1"/>
    <col min="15107" max="15107" width="14.140625" style="960" customWidth="1"/>
    <col min="15108" max="15108" width="52.42578125" style="960" customWidth="1"/>
    <col min="15109" max="15110" width="11.7109375" style="960" customWidth="1"/>
    <col min="15111" max="15359" width="9.140625" style="960"/>
    <col min="15360" max="15360" width="5.140625" style="960" customWidth="1"/>
    <col min="15361" max="15361" width="44.5703125" style="960" customWidth="1"/>
    <col min="15362" max="15362" width="14.28515625" style="960" customWidth="1"/>
    <col min="15363" max="15363" width="14.140625" style="960" customWidth="1"/>
    <col min="15364" max="15364" width="52.42578125" style="960" customWidth="1"/>
    <col min="15365" max="15366" width="11.7109375" style="960" customWidth="1"/>
    <col min="15367" max="15615" width="9.140625" style="960"/>
    <col min="15616" max="15616" width="5.140625" style="960" customWidth="1"/>
    <col min="15617" max="15617" width="44.5703125" style="960" customWidth="1"/>
    <col min="15618" max="15618" width="14.28515625" style="960" customWidth="1"/>
    <col min="15619" max="15619" width="14.140625" style="960" customWidth="1"/>
    <col min="15620" max="15620" width="52.42578125" style="960" customWidth="1"/>
    <col min="15621" max="15622" width="11.7109375" style="960" customWidth="1"/>
    <col min="15623" max="15871" width="9.140625" style="960"/>
    <col min="15872" max="15872" width="5.140625" style="960" customWidth="1"/>
    <col min="15873" max="15873" width="44.5703125" style="960" customWidth="1"/>
    <col min="15874" max="15874" width="14.28515625" style="960" customWidth="1"/>
    <col min="15875" max="15875" width="14.140625" style="960" customWidth="1"/>
    <col min="15876" max="15876" width="52.42578125" style="960" customWidth="1"/>
    <col min="15877" max="15878" width="11.7109375" style="960" customWidth="1"/>
    <col min="15879" max="16127" width="9.140625" style="960"/>
    <col min="16128" max="16128" width="5.140625" style="960" customWidth="1"/>
    <col min="16129" max="16129" width="44.5703125" style="960" customWidth="1"/>
    <col min="16130" max="16130" width="14.28515625" style="960" customWidth="1"/>
    <col min="16131" max="16131" width="14.140625" style="960" customWidth="1"/>
    <col min="16132" max="16132" width="52.42578125" style="960" customWidth="1"/>
    <col min="16133" max="16134" width="11.7109375" style="960" customWidth="1"/>
    <col min="16135" max="16384" width="9.140625" style="960"/>
  </cols>
  <sheetData>
    <row r="1" spans="1:7" x14ac:dyDescent="0.2">
      <c r="A1" s="3237"/>
      <c r="B1" s="3237"/>
      <c r="C1" s="3237"/>
      <c r="D1" s="3237"/>
      <c r="E1" s="3237"/>
      <c r="F1" s="3237"/>
    </row>
    <row r="2" spans="1:7" x14ac:dyDescent="0.2">
      <c r="A2" s="3237"/>
      <c r="B2" s="3237"/>
      <c r="C2" s="3237"/>
      <c r="D2" s="3237"/>
      <c r="E2" s="3237"/>
      <c r="F2" s="3237"/>
    </row>
    <row r="3" spans="1:7" x14ac:dyDescent="0.2">
      <c r="A3" s="3237"/>
      <c r="B3" s="3237"/>
      <c r="C3" s="3237"/>
      <c r="D3" s="3237"/>
      <c r="E3" s="3237"/>
      <c r="F3" s="3237"/>
    </row>
    <row r="4" spans="1:7" x14ac:dyDescent="0.2">
      <c r="A4" s="3237"/>
      <c r="B4" s="3237"/>
      <c r="C4" s="3237"/>
      <c r="D4" s="3237"/>
      <c r="E4" s="3237"/>
      <c r="F4" s="3237"/>
    </row>
    <row r="5" spans="1:7" x14ac:dyDescent="0.2">
      <c r="A5" s="3237"/>
      <c r="B5" s="3237"/>
      <c r="C5" s="3237"/>
      <c r="D5" s="3237"/>
      <c r="E5" s="3237"/>
      <c r="F5" s="3237"/>
    </row>
    <row r="6" spans="1:7" ht="12.75" customHeight="1" thickBot="1" x14ac:dyDescent="0.25">
      <c r="A6" s="3238"/>
      <c r="B6" s="3238"/>
      <c r="C6" s="3238"/>
      <c r="D6" s="3238"/>
      <c r="E6" s="3238"/>
      <c r="F6" s="3238"/>
    </row>
    <row r="8" spans="1:7" ht="18" x14ac:dyDescent="0.2">
      <c r="B8" s="961"/>
      <c r="C8" s="962" t="s">
        <v>409</v>
      </c>
      <c r="D8" s="961"/>
      <c r="E8" s="1644"/>
      <c r="F8" s="1645" t="s">
        <v>3084</v>
      </c>
      <c r="G8" s="963"/>
    </row>
    <row r="9" spans="1:7" ht="12.75" customHeight="1" x14ac:dyDescent="0.2">
      <c r="A9" s="3293" t="s">
        <v>410</v>
      </c>
      <c r="B9" s="3293"/>
      <c r="C9" s="3240" t="s">
        <v>400</v>
      </c>
      <c r="D9" s="3243" t="s">
        <v>293</v>
      </c>
      <c r="E9" s="3245" t="s">
        <v>411</v>
      </c>
      <c r="F9" s="3246"/>
    </row>
    <row r="10" spans="1:7" ht="13.5" customHeight="1" thickBot="1" x14ac:dyDescent="0.25">
      <c r="A10" s="3293"/>
      <c r="B10" s="3293"/>
      <c r="C10" s="3242"/>
      <c r="D10" s="3244"/>
      <c r="E10" s="1646" t="s">
        <v>412</v>
      </c>
      <c r="F10" s="1646" t="s">
        <v>413</v>
      </c>
    </row>
    <row r="11" spans="1:7" ht="29.25" customHeight="1" x14ac:dyDescent="0.2">
      <c r="A11" s="3206" t="s">
        <v>523</v>
      </c>
      <c r="B11" s="227" t="s">
        <v>524</v>
      </c>
      <c r="C11" s="228" t="s">
        <v>446</v>
      </c>
      <c r="D11" s="229" t="s">
        <v>526</v>
      </c>
      <c r="E11" s="211">
        <v>2450</v>
      </c>
      <c r="F11" s="211">
        <v>2205</v>
      </c>
    </row>
    <row r="12" spans="1:7" x14ac:dyDescent="0.2">
      <c r="A12" s="3207"/>
      <c r="B12" s="180" t="s">
        <v>527</v>
      </c>
      <c r="C12" s="178" t="s">
        <v>446</v>
      </c>
      <c r="D12" s="179" t="s">
        <v>528</v>
      </c>
      <c r="E12" s="2078">
        <v>5250</v>
      </c>
      <c r="F12" s="191">
        <v>4725</v>
      </c>
    </row>
    <row r="13" spans="1:7" ht="14.25" customHeight="1" x14ac:dyDescent="0.2">
      <c r="A13" s="3207"/>
      <c r="B13" s="180" t="s">
        <v>529</v>
      </c>
      <c r="C13" s="178" t="s">
        <v>432</v>
      </c>
      <c r="D13" s="179" t="s">
        <v>3126</v>
      </c>
      <c r="E13" s="2210">
        <v>5100</v>
      </c>
      <c r="F13" s="191">
        <v>4590</v>
      </c>
    </row>
    <row r="14" spans="1:7" x14ac:dyDescent="0.2">
      <c r="A14" s="3207"/>
      <c r="B14" s="180" t="s">
        <v>530</v>
      </c>
      <c r="C14" s="178" t="s">
        <v>432</v>
      </c>
      <c r="D14" s="179" t="s">
        <v>531</v>
      </c>
      <c r="E14" s="2078">
        <v>2500</v>
      </c>
      <c r="F14" s="191">
        <v>2250</v>
      </c>
    </row>
    <row r="15" spans="1:7" ht="13.5" thickBot="1" x14ac:dyDescent="0.25">
      <c r="A15" s="3208"/>
      <c r="B15" s="230" t="s">
        <v>532</v>
      </c>
      <c r="C15" s="187" t="s">
        <v>446</v>
      </c>
      <c r="D15" s="231" t="s">
        <v>3127</v>
      </c>
      <c r="E15" s="1697">
        <v>891</v>
      </c>
      <c r="F15" s="226">
        <v>802</v>
      </c>
    </row>
    <row r="16" spans="1:7" ht="13.5" customHeight="1" x14ac:dyDescent="0.2">
      <c r="A16" s="3252" t="s">
        <v>3128</v>
      </c>
      <c r="B16" s="3287" t="s">
        <v>3129</v>
      </c>
      <c r="C16" s="3288"/>
      <c r="D16" s="3288"/>
      <c r="E16" s="3288"/>
      <c r="F16" s="3289"/>
    </row>
    <row r="17" spans="1:6" s="967" customFormat="1" ht="15" customHeight="1" x14ac:dyDescent="0.25">
      <c r="A17" s="3253"/>
      <c r="B17" s="1618" t="s">
        <v>2549</v>
      </c>
      <c r="C17" s="1619" t="s">
        <v>2379</v>
      </c>
      <c r="D17" s="3256" t="s">
        <v>2380</v>
      </c>
      <c r="E17" s="2078">
        <v>2490</v>
      </c>
      <c r="F17" s="2078">
        <v>2241</v>
      </c>
    </row>
    <row r="18" spans="1:6" s="967" customFormat="1" ht="12.75" customHeight="1" x14ac:dyDescent="0.25">
      <c r="A18" s="3253"/>
      <c r="B18" s="1618" t="s">
        <v>2550</v>
      </c>
      <c r="C18" s="1619" t="s">
        <v>544</v>
      </c>
      <c r="D18" s="3256"/>
      <c r="E18" s="2078">
        <v>3890</v>
      </c>
      <c r="F18" s="2078">
        <v>3501</v>
      </c>
    </row>
    <row r="19" spans="1:6" s="967" customFormat="1" ht="12.75" customHeight="1" x14ac:dyDescent="0.25">
      <c r="A19" s="3253"/>
      <c r="B19" s="180" t="s">
        <v>543</v>
      </c>
      <c r="C19" s="1619" t="s">
        <v>544</v>
      </c>
      <c r="D19" s="3256"/>
      <c r="E19" s="2078">
        <v>4190</v>
      </c>
      <c r="F19" s="2078">
        <v>3771</v>
      </c>
    </row>
    <row r="20" spans="1:6" s="967" customFormat="1" ht="12.75" customHeight="1" x14ac:dyDescent="0.25">
      <c r="A20" s="3253"/>
      <c r="B20" s="1618" t="s">
        <v>2551</v>
      </c>
      <c r="C20" s="1619" t="s">
        <v>2379</v>
      </c>
      <c r="D20" s="3256"/>
      <c r="E20" s="2078">
        <v>3150</v>
      </c>
      <c r="F20" s="2078">
        <v>2835</v>
      </c>
    </row>
    <row r="21" spans="1:6" s="967" customFormat="1" ht="12.75" customHeight="1" x14ac:dyDescent="0.25">
      <c r="A21" s="3253"/>
      <c r="B21" s="1620" t="s">
        <v>2552</v>
      </c>
      <c r="C21" s="1619" t="s">
        <v>544</v>
      </c>
      <c r="D21" s="3256"/>
      <c r="E21" s="2078">
        <v>5990</v>
      </c>
      <c r="F21" s="2078">
        <v>5391</v>
      </c>
    </row>
    <row r="22" spans="1:6" s="967" customFormat="1" ht="12.75" customHeight="1" x14ac:dyDescent="0.25">
      <c r="A22" s="3253"/>
      <c r="B22" s="180" t="s">
        <v>545</v>
      </c>
      <c r="C22" s="1619" t="s">
        <v>546</v>
      </c>
      <c r="D22" s="3256"/>
      <c r="E22" s="2078">
        <v>13640</v>
      </c>
      <c r="F22" s="2078">
        <v>12276</v>
      </c>
    </row>
    <row r="23" spans="1:6" s="967" customFormat="1" ht="25.5" x14ac:dyDescent="0.25">
      <c r="A23" s="3253"/>
      <c r="B23" s="1618" t="s">
        <v>2553</v>
      </c>
      <c r="C23" s="1619" t="s">
        <v>544</v>
      </c>
      <c r="D23" s="3256"/>
      <c r="E23" s="2078">
        <v>7990</v>
      </c>
      <c r="F23" s="2078">
        <v>7191</v>
      </c>
    </row>
    <row r="24" spans="1:6" s="967" customFormat="1" x14ac:dyDescent="0.25">
      <c r="A24" s="3253"/>
      <c r="B24" s="180" t="s">
        <v>547</v>
      </c>
      <c r="C24" s="1621" t="s">
        <v>544</v>
      </c>
      <c r="D24" s="3221" t="s">
        <v>549</v>
      </c>
      <c r="E24" s="2078">
        <v>5990</v>
      </c>
      <c r="F24" s="2078">
        <v>5391</v>
      </c>
    </row>
    <row r="25" spans="1:6" s="967" customFormat="1" ht="25.5" x14ac:dyDescent="0.25">
      <c r="A25" s="3253"/>
      <c r="B25" s="177" t="s">
        <v>2907</v>
      </c>
      <c r="C25" s="1621" t="s">
        <v>544</v>
      </c>
      <c r="D25" s="3222"/>
      <c r="E25" s="2078">
        <v>5990</v>
      </c>
      <c r="F25" s="2078">
        <v>5391</v>
      </c>
    </row>
    <row r="26" spans="1:6" s="967" customFormat="1" x14ac:dyDescent="0.25">
      <c r="A26" s="3253"/>
      <c r="B26" s="3284" t="s">
        <v>3130</v>
      </c>
      <c r="C26" s="3285"/>
      <c r="D26" s="3285"/>
      <c r="E26" s="3285"/>
      <c r="F26" s="3286"/>
    </row>
    <row r="27" spans="1:6" s="967" customFormat="1" ht="27" customHeight="1" x14ac:dyDescent="0.25">
      <c r="A27" s="3253"/>
      <c r="B27" s="202" t="s">
        <v>492</v>
      </c>
      <c r="C27" s="195" t="s">
        <v>436</v>
      </c>
      <c r="D27" s="204" t="s">
        <v>493</v>
      </c>
      <c r="E27" s="1696">
        <v>1488</v>
      </c>
      <c r="F27" s="203">
        <v>1339</v>
      </c>
    </row>
    <row r="28" spans="1:6" s="967" customFormat="1" ht="25.5" x14ac:dyDescent="0.25">
      <c r="A28" s="3253"/>
      <c r="B28" s="1618" t="s">
        <v>2554</v>
      </c>
      <c r="C28" s="1621" t="s">
        <v>544</v>
      </c>
      <c r="D28" s="1622" t="s">
        <v>2381</v>
      </c>
      <c r="E28" s="2078">
        <v>1990</v>
      </c>
      <c r="F28" s="2078">
        <v>1791</v>
      </c>
    </row>
    <row r="29" spans="1:6" s="967" customFormat="1" ht="12.75" customHeight="1" x14ac:dyDescent="0.25">
      <c r="A29" s="3253"/>
      <c r="B29" s="1618" t="s">
        <v>2555</v>
      </c>
      <c r="C29" s="1621" t="s">
        <v>544</v>
      </c>
      <c r="D29" s="3221" t="s">
        <v>2382</v>
      </c>
      <c r="E29" s="2078">
        <v>2990</v>
      </c>
      <c r="F29" s="2078">
        <v>2691</v>
      </c>
    </row>
    <row r="30" spans="1:6" s="967" customFormat="1" x14ac:dyDescent="0.25">
      <c r="A30" s="3253"/>
      <c r="B30" s="180" t="s">
        <v>554</v>
      </c>
      <c r="C30" s="1619" t="s">
        <v>544</v>
      </c>
      <c r="D30" s="3222"/>
      <c r="E30" s="193">
        <v>3290</v>
      </c>
      <c r="F30" s="193">
        <v>2961</v>
      </c>
    </row>
    <row r="31" spans="1:6" s="967" customFormat="1" ht="12.75" customHeight="1" x14ac:dyDescent="0.25">
      <c r="A31" s="3253"/>
      <c r="B31" s="177" t="s">
        <v>1752</v>
      </c>
      <c r="C31" s="3290" t="s">
        <v>544</v>
      </c>
      <c r="D31" s="3221" t="s">
        <v>552</v>
      </c>
      <c r="E31" s="193">
        <v>1390</v>
      </c>
      <c r="F31" s="193">
        <v>1251</v>
      </c>
    </row>
    <row r="32" spans="1:6" s="967" customFormat="1" ht="12.75" customHeight="1" x14ac:dyDescent="0.25">
      <c r="A32" s="3253"/>
      <c r="B32" s="177" t="s">
        <v>1753</v>
      </c>
      <c r="C32" s="3291"/>
      <c r="D32" s="3223"/>
      <c r="E32" s="193">
        <v>1590</v>
      </c>
      <c r="F32" s="193">
        <v>1431</v>
      </c>
    </row>
    <row r="33" spans="1:6" s="967" customFormat="1" ht="12.75" customHeight="1" x14ac:dyDescent="0.25">
      <c r="A33" s="3253"/>
      <c r="B33" s="177" t="s">
        <v>1754</v>
      </c>
      <c r="C33" s="3291"/>
      <c r="D33" s="3223"/>
      <c r="E33" s="193">
        <v>1990</v>
      </c>
      <c r="F33" s="193">
        <v>1791</v>
      </c>
    </row>
    <row r="34" spans="1:6" s="967" customFormat="1" ht="13.5" customHeight="1" x14ac:dyDescent="0.25">
      <c r="A34" s="3253"/>
      <c r="B34" s="1618" t="s">
        <v>2556</v>
      </c>
      <c r="C34" s="3292"/>
      <c r="D34" s="3222"/>
      <c r="E34" s="193">
        <v>2990</v>
      </c>
      <c r="F34" s="193">
        <v>2691</v>
      </c>
    </row>
    <row r="35" spans="1:6" s="967" customFormat="1" ht="12.75" customHeight="1" x14ac:dyDescent="0.25">
      <c r="A35" s="3253"/>
      <c r="B35" s="3284" t="s">
        <v>3131</v>
      </c>
      <c r="C35" s="3285"/>
      <c r="D35" s="3285"/>
      <c r="E35" s="3285"/>
      <c r="F35" s="3286"/>
    </row>
    <row r="36" spans="1:6" s="967" customFormat="1" ht="15.75" customHeight="1" x14ac:dyDescent="0.25">
      <c r="A36" s="3253"/>
      <c r="B36" s="1618" t="s">
        <v>2557</v>
      </c>
      <c r="C36" s="1623" t="s">
        <v>544</v>
      </c>
      <c r="D36" s="3256" t="s">
        <v>2383</v>
      </c>
      <c r="E36" s="191">
        <v>3790</v>
      </c>
      <c r="F36" s="191">
        <v>3411</v>
      </c>
    </row>
    <row r="37" spans="1:6" s="967" customFormat="1" ht="15.75" customHeight="1" x14ac:dyDescent="0.25">
      <c r="A37" s="3253"/>
      <c r="B37" s="1618" t="s">
        <v>2558</v>
      </c>
      <c r="C37" s="1623" t="s">
        <v>544</v>
      </c>
      <c r="D37" s="3256"/>
      <c r="E37" s="191">
        <v>5990</v>
      </c>
      <c r="F37" s="191">
        <v>5391</v>
      </c>
    </row>
    <row r="38" spans="1:6" s="967" customFormat="1" ht="15.75" customHeight="1" x14ac:dyDescent="0.25">
      <c r="A38" s="3253"/>
      <c r="B38" s="1618" t="s">
        <v>2559</v>
      </c>
      <c r="C38" s="1623" t="s">
        <v>544</v>
      </c>
      <c r="D38" s="3256"/>
      <c r="E38" s="191">
        <v>9990</v>
      </c>
      <c r="F38" s="191">
        <v>8991</v>
      </c>
    </row>
    <row r="39" spans="1:6" s="967" customFormat="1" ht="15.75" customHeight="1" x14ac:dyDescent="0.25">
      <c r="A39" s="3253"/>
      <c r="B39" s="1618" t="s">
        <v>2560</v>
      </c>
      <c r="C39" s="1623" t="s">
        <v>544</v>
      </c>
      <c r="D39" s="3256"/>
      <c r="E39" s="191">
        <v>19990</v>
      </c>
      <c r="F39" s="191">
        <v>17991</v>
      </c>
    </row>
    <row r="40" spans="1:6" s="967" customFormat="1" ht="15.75" customHeight="1" x14ac:dyDescent="0.25">
      <c r="A40" s="3253"/>
      <c r="B40" s="1618" t="s">
        <v>2854</v>
      </c>
      <c r="C40" s="1623" t="s">
        <v>544</v>
      </c>
      <c r="D40" s="3256"/>
      <c r="E40" s="191">
        <v>9990</v>
      </c>
      <c r="F40" s="191">
        <v>8991</v>
      </c>
    </row>
    <row r="41" spans="1:6" s="967" customFormat="1" ht="15.75" customHeight="1" x14ac:dyDescent="0.25">
      <c r="A41" s="3253"/>
      <c r="B41" s="1618" t="s">
        <v>2855</v>
      </c>
      <c r="C41" s="1623" t="s">
        <v>544</v>
      </c>
      <c r="D41" s="3256"/>
      <c r="E41" s="191">
        <v>13990</v>
      </c>
      <c r="F41" s="191">
        <v>12591</v>
      </c>
    </row>
    <row r="42" spans="1:6" s="967" customFormat="1" ht="15.75" customHeight="1" x14ac:dyDescent="0.25">
      <c r="A42" s="3253"/>
      <c r="B42" s="1618" t="s">
        <v>2856</v>
      </c>
      <c r="C42" s="1623" t="s">
        <v>544</v>
      </c>
      <c r="D42" s="3256"/>
      <c r="E42" s="191">
        <v>14990</v>
      </c>
      <c r="F42" s="191">
        <v>13491</v>
      </c>
    </row>
    <row r="43" spans="1:6" s="967" customFormat="1" ht="15.75" customHeight="1" x14ac:dyDescent="0.25">
      <c r="A43" s="3253"/>
      <c r="B43" s="1618" t="s">
        <v>3132</v>
      </c>
      <c r="C43" s="1623" t="s">
        <v>544</v>
      </c>
      <c r="D43" s="3256"/>
      <c r="E43" s="191">
        <v>15990</v>
      </c>
      <c r="F43" s="191">
        <v>14391</v>
      </c>
    </row>
    <row r="44" spans="1:6" s="967" customFormat="1" ht="12.75" customHeight="1" x14ac:dyDescent="0.25">
      <c r="A44" s="3253"/>
      <c r="B44" s="1618" t="s">
        <v>2384</v>
      </c>
      <c r="C44" s="1623" t="s">
        <v>544</v>
      </c>
      <c r="D44" s="3256"/>
      <c r="E44" s="191">
        <v>34990</v>
      </c>
      <c r="F44" s="191">
        <v>31491</v>
      </c>
    </row>
    <row r="45" spans="1:6" s="967" customFormat="1" ht="25.5" x14ac:dyDescent="0.25">
      <c r="A45" s="3253"/>
      <c r="B45" s="1618" t="s">
        <v>2561</v>
      </c>
      <c r="C45" s="1623" t="s">
        <v>544</v>
      </c>
      <c r="D45" s="2080" t="s">
        <v>2385</v>
      </c>
      <c r="E45" s="191">
        <v>2990</v>
      </c>
      <c r="F45" s="191">
        <v>2691</v>
      </c>
    </row>
    <row r="46" spans="1:6" s="967" customFormat="1" ht="12.75" customHeight="1" x14ac:dyDescent="0.25">
      <c r="A46" s="3253"/>
      <c r="B46" s="1618" t="s">
        <v>2562</v>
      </c>
      <c r="C46" s="1623" t="s">
        <v>544</v>
      </c>
      <c r="D46" s="3221" t="s">
        <v>2386</v>
      </c>
      <c r="E46" s="191">
        <v>7390</v>
      </c>
      <c r="F46" s="191">
        <v>6651</v>
      </c>
    </row>
    <row r="47" spans="1:6" s="967" customFormat="1" ht="12.75" customHeight="1" x14ac:dyDescent="0.25">
      <c r="A47" s="3253"/>
      <c r="B47" s="1618" t="s">
        <v>2857</v>
      </c>
      <c r="C47" s="1623" t="s">
        <v>544</v>
      </c>
      <c r="D47" s="3223"/>
      <c r="E47" s="191">
        <v>3490</v>
      </c>
      <c r="F47" s="191">
        <v>3141</v>
      </c>
    </row>
    <row r="48" spans="1:6" s="967" customFormat="1" ht="12.75" customHeight="1" x14ac:dyDescent="0.25">
      <c r="A48" s="3253"/>
      <c r="B48" s="1618" t="s">
        <v>2858</v>
      </c>
      <c r="C48" s="1623" t="s">
        <v>544</v>
      </c>
      <c r="D48" s="3222"/>
      <c r="E48" s="191">
        <v>1390</v>
      </c>
      <c r="F48" s="191">
        <v>1251</v>
      </c>
    </row>
    <row r="49" spans="1:8" s="967" customFormat="1" ht="25.5" x14ac:dyDescent="0.25">
      <c r="A49" s="3253"/>
      <c r="B49" s="1618" t="s">
        <v>2859</v>
      </c>
      <c r="C49" s="1623" t="s">
        <v>544</v>
      </c>
      <c r="D49" s="1852" t="s">
        <v>3133</v>
      </c>
      <c r="E49" s="191">
        <v>5990</v>
      </c>
      <c r="F49" s="191">
        <v>5391</v>
      </c>
    </row>
    <row r="50" spans="1:8" s="967" customFormat="1" ht="26.25" customHeight="1" x14ac:dyDescent="0.25">
      <c r="A50" s="3253"/>
      <c r="B50" s="1618" t="s">
        <v>2860</v>
      </c>
      <c r="C50" s="1623" t="s">
        <v>544</v>
      </c>
      <c r="D50" s="1852" t="s">
        <v>2861</v>
      </c>
      <c r="E50" s="191">
        <v>499</v>
      </c>
      <c r="F50" s="191">
        <v>449</v>
      </c>
    </row>
    <row r="51" spans="1:8" s="967" customFormat="1" ht="25.5" x14ac:dyDescent="0.25">
      <c r="A51" s="3253"/>
      <c r="B51" s="1618" t="s">
        <v>3134</v>
      </c>
      <c r="C51" s="1623" t="s">
        <v>544</v>
      </c>
      <c r="D51" s="1852" t="s">
        <v>3135</v>
      </c>
      <c r="E51" s="191">
        <v>150</v>
      </c>
      <c r="F51" s="191">
        <v>135</v>
      </c>
    </row>
    <row r="52" spans="1:8" s="967" customFormat="1" ht="12.75" customHeight="1" x14ac:dyDescent="0.25">
      <c r="A52" s="3253"/>
      <c r="B52" s="3284" t="s">
        <v>3136</v>
      </c>
      <c r="C52" s="3285"/>
      <c r="D52" s="3285"/>
      <c r="E52" s="3285"/>
      <c r="F52" s="3286"/>
    </row>
    <row r="53" spans="1:8" s="967" customFormat="1" ht="18.75" customHeight="1" x14ac:dyDescent="0.25">
      <c r="A53" s="3253"/>
      <c r="B53" s="1618" t="s">
        <v>2387</v>
      </c>
      <c r="C53" s="1621" t="s">
        <v>544</v>
      </c>
      <c r="D53" s="3221" t="s">
        <v>2388</v>
      </c>
      <c r="E53" s="2078">
        <v>9690</v>
      </c>
      <c r="F53" s="2078">
        <v>8721</v>
      </c>
    </row>
    <row r="54" spans="1:8" s="967" customFormat="1" ht="21.75" customHeight="1" x14ac:dyDescent="0.25">
      <c r="A54" s="3253"/>
      <c r="B54" s="1618" t="s">
        <v>2389</v>
      </c>
      <c r="C54" s="1621" t="s">
        <v>544</v>
      </c>
      <c r="D54" s="3222"/>
      <c r="E54" s="2078">
        <v>9990</v>
      </c>
      <c r="F54" s="2078">
        <v>8991</v>
      </c>
    </row>
    <row r="55" spans="1:8" s="967" customFormat="1" x14ac:dyDescent="0.25">
      <c r="A55" s="3253"/>
      <c r="B55" s="1618" t="s">
        <v>2390</v>
      </c>
      <c r="C55" s="1621" t="s">
        <v>544</v>
      </c>
      <c r="D55" s="240" t="s">
        <v>550</v>
      </c>
      <c r="E55" s="2078">
        <v>4390</v>
      </c>
      <c r="F55" s="2078">
        <v>3951</v>
      </c>
    </row>
    <row r="56" spans="1:8" s="967" customFormat="1" ht="15.75" customHeight="1" x14ac:dyDescent="0.25">
      <c r="A56" s="3253"/>
      <c r="B56" s="1618" t="s">
        <v>2391</v>
      </c>
      <c r="C56" s="3290" t="s">
        <v>544</v>
      </c>
      <c r="D56" s="3221" t="s">
        <v>551</v>
      </c>
      <c r="E56" s="2078">
        <v>2990</v>
      </c>
      <c r="F56" s="2078">
        <v>2691</v>
      </c>
    </row>
    <row r="57" spans="1:8" s="967" customFormat="1" ht="15.75" customHeight="1" x14ac:dyDescent="0.25">
      <c r="A57" s="3253"/>
      <c r="B57" s="1618" t="s">
        <v>2392</v>
      </c>
      <c r="C57" s="3292"/>
      <c r="D57" s="3222"/>
      <c r="E57" s="2078">
        <v>3490</v>
      </c>
      <c r="F57" s="2078">
        <v>3141</v>
      </c>
    </row>
    <row r="58" spans="1:8" s="967" customFormat="1" ht="15" customHeight="1" x14ac:dyDescent="0.25">
      <c r="A58" s="3253"/>
      <c r="B58" s="3284" t="s">
        <v>2393</v>
      </c>
      <c r="C58" s="3285"/>
      <c r="D58" s="3285"/>
      <c r="E58" s="3285"/>
      <c r="F58" s="3286"/>
    </row>
    <row r="59" spans="1:8" s="967" customFormat="1" ht="26.25" customHeight="1" thickBot="1" x14ac:dyDescent="0.3">
      <c r="A59" s="3254"/>
      <c r="B59" s="236" t="s">
        <v>1755</v>
      </c>
      <c r="C59" s="1624" t="s">
        <v>436</v>
      </c>
      <c r="D59" s="1625" t="s">
        <v>553</v>
      </c>
      <c r="E59" s="189">
        <v>2088</v>
      </c>
      <c r="F59" s="189">
        <v>1879</v>
      </c>
    </row>
    <row r="60" spans="1:8" s="967" customFormat="1" x14ac:dyDescent="0.25">
      <c r="A60" s="1626"/>
      <c r="B60" s="1627"/>
      <c r="C60" s="1628"/>
      <c r="D60" s="1629"/>
      <c r="E60" s="1630"/>
      <c r="F60" s="1630"/>
      <c r="H60" s="968"/>
    </row>
    <row r="61" spans="1:8" s="967" customFormat="1" x14ac:dyDescent="0.25">
      <c r="A61" s="3271" t="s">
        <v>3137</v>
      </c>
      <c r="B61" s="3271"/>
      <c r="C61" s="3271"/>
      <c r="D61" s="3271"/>
      <c r="E61" s="3271"/>
      <c r="F61" s="3271"/>
      <c r="H61" s="968"/>
    </row>
    <row r="62" spans="1:8" s="967" customFormat="1" x14ac:dyDescent="0.25">
      <c r="A62" s="1626"/>
      <c r="B62" s="1627"/>
      <c r="C62" s="1628"/>
      <c r="D62" s="1629"/>
      <c r="E62" s="1630"/>
      <c r="F62" s="1630"/>
      <c r="H62" s="968"/>
    </row>
    <row r="63" spans="1:8" s="967" customFormat="1" x14ac:dyDescent="0.25">
      <c r="A63" s="1626"/>
      <c r="B63" s="1627"/>
      <c r="C63" s="1628"/>
      <c r="D63" s="1629"/>
      <c r="E63" s="1630"/>
      <c r="F63" s="1630"/>
      <c r="H63" s="968"/>
    </row>
    <row r="64" spans="1:8" s="967" customFormat="1" ht="18" x14ac:dyDescent="0.25">
      <c r="A64" s="1626"/>
      <c r="C64" s="1853" t="s">
        <v>398</v>
      </c>
      <c r="D64" s="1629"/>
      <c r="E64" s="1630"/>
      <c r="F64" s="1630"/>
      <c r="H64" s="968"/>
    </row>
    <row r="65" spans="1:8" s="967" customFormat="1" x14ac:dyDescent="0.25">
      <c r="A65" s="1631" t="s">
        <v>2394</v>
      </c>
      <c r="C65" s="1628"/>
      <c r="D65" s="1629"/>
      <c r="E65" s="1630"/>
      <c r="F65" s="1645" t="s">
        <v>3138</v>
      </c>
      <c r="H65" s="968"/>
    </row>
    <row r="66" spans="1:8" s="967" customFormat="1" ht="15" customHeight="1" x14ac:dyDescent="0.25">
      <c r="A66" s="3272" t="s">
        <v>399</v>
      </c>
      <c r="B66" s="3273"/>
      <c r="C66" s="1653" t="s">
        <v>400</v>
      </c>
      <c r="D66" s="1642" t="s">
        <v>293</v>
      </c>
      <c r="E66" s="3267" t="s">
        <v>276</v>
      </c>
      <c r="F66" s="3267"/>
      <c r="H66" s="968"/>
    </row>
    <row r="67" spans="1:8" s="967" customFormat="1" ht="15" customHeight="1" x14ac:dyDescent="0.25">
      <c r="A67" s="3272" t="s">
        <v>2395</v>
      </c>
      <c r="B67" s="3273"/>
      <c r="C67" s="1616"/>
      <c r="D67" s="177"/>
      <c r="E67" s="3274" t="s">
        <v>2396</v>
      </c>
      <c r="F67" s="3275"/>
      <c r="H67" s="968"/>
    </row>
    <row r="68" spans="1:8" s="967" customFormat="1" ht="15" customHeight="1" x14ac:dyDescent="0.25">
      <c r="A68" s="3280" t="s">
        <v>404</v>
      </c>
      <c r="B68" s="3281"/>
      <c r="C68" s="1570" t="s">
        <v>402</v>
      </c>
      <c r="D68" s="177" t="s">
        <v>2397</v>
      </c>
      <c r="E68" s="3276"/>
      <c r="F68" s="3277"/>
      <c r="H68" s="968"/>
    </row>
    <row r="69" spans="1:8" s="967" customFormat="1" ht="15" customHeight="1" x14ac:dyDescent="0.25">
      <c r="A69" s="3280" t="s">
        <v>401</v>
      </c>
      <c r="B69" s="3281"/>
      <c r="C69" s="1570" t="s">
        <v>402</v>
      </c>
      <c r="D69" s="177" t="s">
        <v>2398</v>
      </c>
      <c r="E69" s="3276"/>
      <c r="F69" s="3277"/>
      <c r="H69" s="968"/>
    </row>
    <row r="70" spans="1:8" s="967" customFormat="1" ht="15" customHeight="1" x14ac:dyDescent="0.25">
      <c r="A70" s="3280" t="s">
        <v>403</v>
      </c>
      <c r="B70" s="3281"/>
      <c r="C70" s="1570" t="s">
        <v>402</v>
      </c>
      <c r="D70" s="177" t="s">
        <v>2399</v>
      </c>
      <c r="E70" s="3276"/>
      <c r="F70" s="3277"/>
      <c r="H70" s="968"/>
    </row>
    <row r="71" spans="1:8" s="967" customFormat="1" ht="15" customHeight="1" x14ac:dyDescent="0.25">
      <c r="A71" s="3282" t="s">
        <v>2400</v>
      </c>
      <c r="B71" s="3283"/>
      <c r="C71" s="1616"/>
      <c r="D71" s="177"/>
      <c r="E71" s="3276"/>
      <c r="F71" s="3277"/>
      <c r="H71" s="968"/>
    </row>
    <row r="72" spans="1:8" s="967" customFormat="1" ht="15" customHeight="1" x14ac:dyDescent="0.2">
      <c r="A72" s="3265" t="s">
        <v>2401</v>
      </c>
      <c r="B72" s="3266"/>
      <c r="C72" s="1616" t="s">
        <v>402</v>
      </c>
      <c r="D72" s="177" t="s">
        <v>2402</v>
      </c>
      <c r="E72" s="3276"/>
      <c r="F72" s="3277"/>
      <c r="H72" s="968"/>
    </row>
    <row r="73" spans="1:8" s="967" customFormat="1" ht="15" customHeight="1" x14ac:dyDescent="0.2">
      <c r="A73" s="3265" t="s">
        <v>2403</v>
      </c>
      <c r="B73" s="3266"/>
      <c r="C73" s="1616" t="s">
        <v>402</v>
      </c>
      <c r="D73" s="177" t="s">
        <v>2402</v>
      </c>
      <c r="E73" s="3276"/>
      <c r="F73" s="3277"/>
      <c r="H73" s="968"/>
    </row>
    <row r="74" spans="1:8" s="967" customFormat="1" ht="15" customHeight="1" x14ac:dyDescent="0.2">
      <c r="A74" s="3265" t="s">
        <v>2404</v>
      </c>
      <c r="B74" s="3266"/>
      <c r="C74" s="1616" t="s">
        <v>402</v>
      </c>
      <c r="D74" s="177" t="s">
        <v>2405</v>
      </c>
      <c r="E74" s="3276"/>
      <c r="F74" s="3277"/>
      <c r="H74" s="968"/>
    </row>
    <row r="75" spans="1:8" s="967" customFormat="1" ht="15" customHeight="1" x14ac:dyDescent="0.2">
      <c r="A75" s="3265" t="s">
        <v>2406</v>
      </c>
      <c r="B75" s="3266"/>
      <c r="C75" s="1616" t="s">
        <v>402</v>
      </c>
      <c r="D75" s="177" t="s">
        <v>2405</v>
      </c>
      <c r="E75" s="3278"/>
      <c r="F75" s="3279"/>
      <c r="H75" s="968"/>
    </row>
    <row r="76" spans="1:8" s="967" customFormat="1" x14ac:dyDescent="0.25">
      <c r="A76" s="1626"/>
      <c r="B76" s="1627"/>
      <c r="C76" s="1628"/>
      <c r="D76" s="1629"/>
      <c r="E76" s="1630"/>
      <c r="F76" s="1630"/>
      <c r="H76" s="968"/>
    </row>
    <row r="77" spans="1:8" s="967" customFormat="1" x14ac:dyDescent="0.25">
      <c r="A77" s="1626"/>
      <c r="B77" s="1627"/>
      <c r="C77" s="1628"/>
      <c r="D77" s="1629"/>
      <c r="E77" s="1630"/>
      <c r="F77" s="1630"/>
      <c r="H77" s="968"/>
    </row>
    <row r="78" spans="1:8" s="967" customFormat="1" x14ac:dyDescent="0.25">
      <c r="A78" s="176" t="s">
        <v>406</v>
      </c>
      <c r="C78" s="1628"/>
      <c r="D78" s="1629"/>
      <c r="E78" s="1630"/>
      <c r="F78" s="1630"/>
      <c r="H78" s="968"/>
    </row>
    <row r="79" spans="1:8" s="967" customFormat="1" ht="15" customHeight="1" x14ac:dyDescent="0.25">
      <c r="A79" s="3267" t="s">
        <v>399</v>
      </c>
      <c r="B79" s="3267"/>
      <c r="C79" s="2077" t="s">
        <v>400</v>
      </c>
      <c r="D79" s="2077" t="s">
        <v>293</v>
      </c>
      <c r="E79" s="3267" t="s">
        <v>276</v>
      </c>
      <c r="F79" s="3267"/>
      <c r="H79" s="968"/>
    </row>
    <row r="80" spans="1:8" s="967" customFormat="1" ht="12.75" customHeight="1" x14ac:dyDescent="0.25">
      <c r="A80" s="3268" t="s">
        <v>2407</v>
      </c>
      <c r="B80" s="3268"/>
      <c r="C80" s="3269" t="s">
        <v>407</v>
      </c>
      <c r="D80" s="1632" t="s">
        <v>2408</v>
      </c>
      <c r="E80" s="3270">
        <v>104000</v>
      </c>
      <c r="F80" s="3270"/>
      <c r="H80" s="968"/>
    </row>
    <row r="81" spans="1:8" s="967" customFormat="1" ht="15" customHeight="1" x14ac:dyDescent="0.25">
      <c r="A81" s="3268" t="s">
        <v>2409</v>
      </c>
      <c r="B81" s="3268"/>
      <c r="C81" s="3269"/>
      <c r="D81" s="1632" t="s">
        <v>2410</v>
      </c>
      <c r="E81" s="3270">
        <v>55000</v>
      </c>
      <c r="F81" s="3270"/>
      <c r="H81" s="968"/>
    </row>
    <row r="82" spans="1:8" s="967" customFormat="1" x14ac:dyDescent="0.25">
      <c r="A82" s="1626"/>
      <c r="B82" s="1627"/>
      <c r="C82" s="1628"/>
      <c r="D82" s="1629"/>
      <c r="E82" s="1630"/>
      <c r="F82" s="1630"/>
      <c r="H82" s="968"/>
    </row>
    <row r="83" spans="1:8" ht="12.75" customHeight="1" x14ac:dyDescent="0.2">
      <c r="A83" s="3205" t="s">
        <v>408</v>
      </c>
      <c r="B83" s="3205"/>
      <c r="C83" s="3205"/>
      <c r="D83" s="3205"/>
      <c r="E83" s="3205"/>
      <c r="F83" s="3205"/>
      <c r="G83" s="214"/>
    </row>
    <row r="84" spans="1:8" ht="7.5" customHeight="1" x14ac:dyDescent="0.2">
      <c r="B84" s="215"/>
      <c r="C84" s="216"/>
      <c r="D84" s="217"/>
      <c r="E84" s="1648"/>
      <c r="F84" s="1648"/>
      <c r="G84" s="218"/>
    </row>
    <row r="85" spans="1:8" x14ac:dyDescent="0.2">
      <c r="A85" s="219" t="s">
        <v>2326</v>
      </c>
      <c r="C85" s="220"/>
      <c r="D85" s="220"/>
      <c r="E85" s="220"/>
      <c r="F85" s="220"/>
      <c r="G85" s="219"/>
    </row>
    <row r="86" spans="1:8" x14ac:dyDescent="0.2">
      <c r="A86" s="221" t="s">
        <v>2364</v>
      </c>
      <c r="C86" s="220"/>
      <c r="D86" s="220"/>
      <c r="E86" s="220"/>
      <c r="F86" s="220"/>
      <c r="G86" s="219"/>
    </row>
    <row r="87" spans="1:8" ht="7.5" customHeight="1" x14ac:dyDescent="0.2">
      <c r="B87" s="220"/>
      <c r="C87" s="219"/>
      <c r="D87" s="219"/>
      <c r="E87" s="1649"/>
      <c r="F87" s="1649"/>
      <c r="G87" s="219"/>
    </row>
    <row r="88" spans="1:8" ht="15" customHeight="1" x14ac:dyDescent="0.2"/>
    <row r="90" spans="1:8" x14ac:dyDescent="0.2">
      <c r="B90" s="1633"/>
    </row>
    <row r="91" spans="1:8" x14ac:dyDescent="0.2">
      <c r="B91" s="1633"/>
    </row>
    <row r="97" ht="38.25" customHeight="1" x14ac:dyDescent="0.2"/>
    <row r="99" ht="25.5" customHeight="1" x14ac:dyDescent="0.2"/>
  </sheetData>
  <mergeCells count="43">
    <mergeCell ref="A11:A15"/>
    <mergeCell ref="A1:F6"/>
    <mergeCell ref="A9:B10"/>
    <mergeCell ref="C9:C10"/>
    <mergeCell ref="D9:D10"/>
    <mergeCell ref="E9:F9"/>
    <mergeCell ref="B58:F58"/>
    <mergeCell ref="A16:A59"/>
    <mergeCell ref="B16:F16"/>
    <mergeCell ref="D17:D23"/>
    <mergeCell ref="D24:D25"/>
    <mergeCell ref="B26:F26"/>
    <mergeCell ref="D29:D30"/>
    <mergeCell ref="C31:C34"/>
    <mergeCell ref="D31:D34"/>
    <mergeCell ref="B35:F35"/>
    <mergeCell ref="D36:D44"/>
    <mergeCell ref="D46:D48"/>
    <mergeCell ref="B52:F52"/>
    <mergeCell ref="D53:D54"/>
    <mergeCell ref="C56:C57"/>
    <mergeCell ref="D56:D57"/>
    <mergeCell ref="A61:F61"/>
    <mergeCell ref="A66:B66"/>
    <mergeCell ref="E66:F66"/>
    <mergeCell ref="A67:B67"/>
    <mergeCell ref="E67:F75"/>
    <mergeCell ref="A68:B68"/>
    <mergeCell ref="A69:B69"/>
    <mergeCell ref="A70:B70"/>
    <mergeCell ref="A71:B71"/>
    <mergeCell ref="A72:B72"/>
    <mergeCell ref="A83:F83"/>
    <mergeCell ref="A73:B73"/>
    <mergeCell ref="A74:B74"/>
    <mergeCell ref="A75:B75"/>
    <mergeCell ref="A79:B79"/>
    <mergeCell ref="E79:F79"/>
    <mergeCell ref="A80:B80"/>
    <mergeCell ref="C80:C81"/>
    <mergeCell ref="E80:F80"/>
    <mergeCell ref="A81:B81"/>
    <mergeCell ref="E81:F81"/>
  </mergeCells>
  <pageMargins left="0.70866141732283472" right="0.39370078740157483" top="0.39370078740157483" bottom="0.39370078740157483" header="0.31496062992125984" footer="0.31496062992125984"/>
  <pageSetup paperSize="9" scale="61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E598"/>
  <sheetViews>
    <sheetView showRuler="0" topLeftCell="B16" zoomScale="40" zoomScaleNormal="40" zoomScaleSheetLayoutView="25" zoomScalePageLayoutView="40" workbookViewId="0">
      <selection sqref="A1:S7"/>
    </sheetView>
  </sheetViews>
  <sheetFormatPr defaultRowHeight="27" x14ac:dyDescent="0.35"/>
  <cols>
    <col min="1" max="1" width="135" style="1153" customWidth="1"/>
    <col min="2" max="2" width="46.28515625" style="1153" customWidth="1"/>
    <col min="3" max="3" width="16.28515625" style="1153" customWidth="1"/>
    <col min="4" max="4" width="16.5703125" style="1153" customWidth="1"/>
    <col min="5" max="5" width="32" style="1153" customWidth="1"/>
    <col min="6" max="6" width="4.5703125" style="1153" customWidth="1"/>
    <col min="7" max="7" width="117.7109375" style="1153" customWidth="1"/>
    <col min="8" max="8" width="31" style="1153" customWidth="1"/>
    <col min="9" max="9" width="40" style="1153" customWidth="1"/>
    <col min="10" max="10" width="22.42578125" style="1153" customWidth="1"/>
    <col min="11" max="11" width="33.28515625" style="1153" customWidth="1"/>
    <col min="12" max="12" width="14.42578125" style="1153" customWidth="1"/>
    <col min="13" max="13" width="9.140625" style="1153" customWidth="1"/>
    <col min="14" max="19" width="9.140625" style="1153"/>
    <col min="20" max="154" width="9.140625" style="1153" customWidth="1"/>
    <col min="155" max="157" width="9.140625" style="1150" customWidth="1"/>
    <col min="158" max="159" width="9.140625" style="1151" hidden="1" customWidth="1"/>
    <col min="160" max="160" width="7.7109375" style="1151" hidden="1" customWidth="1"/>
    <col min="161" max="161" width="15.42578125" style="1151" hidden="1" customWidth="1"/>
    <col min="162" max="162" width="10.5703125" style="1151" hidden="1" customWidth="1"/>
    <col min="163" max="163" width="12.28515625" style="1151" hidden="1" customWidth="1"/>
    <col min="164" max="174" width="9.140625" style="1151" hidden="1" customWidth="1"/>
    <col min="175" max="175" width="28.140625" style="1151" hidden="1" customWidth="1"/>
    <col min="176" max="176" width="9.140625" style="1151" hidden="1" customWidth="1"/>
    <col min="177" max="177" width="10.85546875" style="1151" hidden="1" customWidth="1"/>
    <col min="178" max="178" width="12.5703125" style="1151" hidden="1" customWidth="1"/>
    <col min="179" max="179" width="28.140625" style="1151" hidden="1" customWidth="1"/>
    <col min="180" max="180" width="25.5703125" style="1233" hidden="1" customWidth="1"/>
    <col min="181" max="181" width="32.7109375" style="1233" hidden="1" customWidth="1"/>
    <col min="182" max="182" width="13.85546875" style="1234" hidden="1" customWidth="1"/>
    <col min="183" max="183" width="9.140625" style="1235" hidden="1" customWidth="1"/>
    <col min="184" max="16384" width="9.140625" style="1153"/>
  </cols>
  <sheetData>
    <row r="1" spans="1:183" s="1050" customFormat="1" x14ac:dyDescent="0.35">
      <c r="A1" s="3350"/>
      <c r="B1" s="3350"/>
      <c r="C1" s="3350"/>
      <c r="D1" s="3350"/>
      <c r="E1" s="3350"/>
      <c r="F1" s="3350"/>
      <c r="G1" s="3350"/>
      <c r="H1" s="3350"/>
      <c r="I1" s="3350"/>
      <c r="J1" s="3350"/>
      <c r="K1" s="3350"/>
      <c r="L1" s="3350"/>
      <c r="M1" s="3350"/>
      <c r="N1" s="3350"/>
      <c r="O1" s="3350"/>
      <c r="P1" s="3350"/>
      <c r="Q1" s="3350"/>
      <c r="R1" s="3350"/>
      <c r="S1" s="3350"/>
      <c r="EY1" s="1051"/>
      <c r="EZ1" s="1051"/>
      <c r="FA1" s="1051"/>
      <c r="FB1" s="1052"/>
      <c r="FC1" s="1052"/>
      <c r="FD1" s="1052"/>
      <c r="FE1" s="1052"/>
      <c r="FF1" s="1052"/>
      <c r="FG1" s="1052"/>
      <c r="FH1" s="1052"/>
      <c r="FI1" s="1052"/>
      <c r="FJ1" s="1052"/>
      <c r="FK1" s="1052"/>
      <c r="FL1" s="1052"/>
      <c r="FM1" s="1052"/>
      <c r="FN1" s="1052"/>
      <c r="FO1" s="1052"/>
      <c r="FP1" s="1052"/>
      <c r="FQ1" s="1052"/>
      <c r="FR1" s="1052"/>
      <c r="FS1" s="1052"/>
      <c r="FT1" s="1052"/>
      <c r="FU1" s="1052"/>
      <c r="FV1" s="1052"/>
      <c r="FW1" s="1052"/>
      <c r="FX1" s="1207"/>
      <c r="FY1" s="1207"/>
      <c r="FZ1" s="1208"/>
      <c r="GA1" s="1208"/>
    </row>
    <row r="2" spans="1:183" s="1050" customFormat="1" x14ac:dyDescent="0.35">
      <c r="A2" s="3350"/>
      <c r="B2" s="3350"/>
      <c r="C2" s="3350"/>
      <c r="D2" s="3350"/>
      <c r="E2" s="3350"/>
      <c r="F2" s="3350"/>
      <c r="G2" s="3350"/>
      <c r="H2" s="3350"/>
      <c r="I2" s="3350"/>
      <c r="J2" s="3350"/>
      <c r="K2" s="3350"/>
      <c r="L2" s="3350"/>
      <c r="M2" s="3350"/>
      <c r="N2" s="3350"/>
      <c r="O2" s="3350"/>
      <c r="P2" s="3350"/>
      <c r="Q2" s="3350"/>
      <c r="R2" s="3350"/>
      <c r="S2" s="3350"/>
      <c r="EY2" s="1051"/>
      <c r="EZ2" s="1051"/>
      <c r="FA2" s="1051"/>
      <c r="FB2" s="1052"/>
      <c r="FC2" s="1052"/>
      <c r="FD2" s="1052"/>
      <c r="FE2" s="1052"/>
      <c r="FF2" s="1052"/>
      <c r="FG2" s="1052"/>
      <c r="FH2" s="1052"/>
      <c r="FI2" s="1052"/>
      <c r="FJ2" s="1052"/>
      <c r="FK2" s="1052"/>
      <c r="FL2" s="1052"/>
      <c r="FM2" s="1052"/>
      <c r="FN2" s="1052"/>
      <c r="FO2" s="1052"/>
      <c r="FP2" s="1052"/>
      <c r="FQ2" s="1052"/>
      <c r="FR2" s="1052"/>
      <c r="FS2" s="1052"/>
      <c r="FT2" s="1052"/>
      <c r="FU2" s="1052"/>
      <c r="FV2" s="1052"/>
      <c r="FW2" s="1052"/>
      <c r="FX2" s="1207"/>
      <c r="FY2" s="1207"/>
      <c r="FZ2" s="1208"/>
      <c r="GA2" s="1208"/>
    </row>
    <row r="3" spans="1:183" s="1050" customFormat="1" x14ac:dyDescent="0.35">
      <c r="A3" s="3350"/>
      <c r="B3" s="3350"/>
      <c r="C3" s="3350"/>
      <c r="D3" s="3350"/>
      <c r="E3" s="3350"/>
      <c r="F3" s="3350"/>
      <c r="G3" s="3350"/>
      <c r="H3" s="3350"/>
      <c r="I3" s="3350"/>
      <c r="J3" s="3350"/>
      <c r="K3" s="3350"/>
      <c r="L3" s="3350"/>
      <c r="M3" s="3350"/>
      <c r="N3" s="3350"/>
      <c r="O3" s="3350"/>
      <c r="P3" s="3350"/>
      <c r="Q3" s="3350"/>
      <c r="R3" s="3350"/>
      <c r="S3" s="3350"/>
      <c r="EY3" s="1051"/>
      <c r="EZ3" s="1051"/>
      <c r="FA3" s="1051"/>
      <c r="FB3" s="1052"/>
      <c r="FC3" s="1052"/>
      <c r="FD3" s="1052"/>
      <c r="FE3" s="1052"/>
      <c r="FF3" s="1052"/>
      <c r="FG3" s="1052"/>
      <c r="FH3" s="1052"/>
      <c r="FI3" s="1052"/>
      <c r="FJ3" s="1052"/>
      <c r="FK3" s="1052"/>
      <c r="FL3" s="1052"/>
      <c r="FM3" s="1052"/>
      <c r="FN3" s="1052"/>
      <c r="FO3" s="1052"/>
      <c r="FP3" s="1052"/>
      <c r="FQ3" s="1052"/>
      <c r="FR3" s="1052"/>
      <c r="FS3" s="1052"/>
      <c r="FT3" s="1052"/>
      <c r="FU3" s="1052"/>
      <c r="FV3" s="1052"/>
      <c r="FW3" s="1052"/>
      <c r="FX3" s="1207"/>
      <c r="FY3" s="1207"/>
      <c r="FZ3" s="1208"/>
      <c r="GA3" s="1208"/>
    </row>
    <row r="4" spans="1:183" s="1053" customFormat="1" x14ac:dyDescent="0.25">
      <c r="A4" s="3350"/>
      <c r="B4" s="3350"/>
      <c r="C4" s="3350"/>
      <c r="D4" s="3350"/>
      <c r="E4" s="3350"/>
      <c r="F4" s="3350"/>
      <c r="G4" s="3350"/>
      <c r="H4" s="3350"/>
      <c r="I4" s="3350"/>
      <c r="J4" s="3350"/>
      <c r="K4" s="3350"/>
      <c r="L4" s="3350"/>
      <c r="M4" s="3350"/>
      <c r="N4" s="3350"/>
      <c r="O4" s="3350"/>
      <c r="P4" s="3350"/>
      <c r="Q4" s="3350"/>
      <c r="R4" s="3350"/>
      <c r="S4" s="3350"/>
      <c r="EY4" s="1054"/>
      <c r="EZ4" s="1054"/>
      <c r="FA4" s="1054"/>
      <c r="FB4" s="1055"/>
      <c r="FC4" s="1055"/>
      <c r="FD4" s="1055"/>
      <c r="FE4" s="1055"/>
      <c r="FF4" s="1055"/>
      <c r="FG4" s="1055"/>
      <c r="FH4" s="1055"/>
      <c r="FI4" s="1055"/>
      <c r="FJ4" s="1055"/>
      <c r="FK4" s="1055"/>
      <c r="FL4" s="1055"/>
      <c r="FM4" s="1055"/>
      <c r="FN4" s="1055"/>
      <c r="FO4" s="1055"/>
      <c r="FP4" s="1055"/>
      <c r="FQ4" s="1055"/>
      <c r="FR4" s="1055"/>
      <c r="FS4" s="1055"/>
      <c r="FT4" s="1055"/>
      <c r="FU4" s="1055"/>
      <c r="FV4" s="1055"/>
      <c r="FW4" s="1055"/>
      <c r="FX4" s="1209"/>
      <c r="FY4" s="1209"/>
      <c r="FZ4" s="1210"/>
      <c r="GA4" s="1210"/>
    </row>
    <row r="5" spans="1:183" s="1053" customFormat="1" x14ac:dyDescent="0.25">
      <c r="A5" s="3350"/>
      <c r="B5" s="3350"/>
      <c r="C5" s="3350"/>
      <c r="D5" s="3350"/>
      <c r="E5" s="3350"/>
      <c r="F5" s="3350"/>
      <c r="G5" s="3350"/>
      <c r="H5" s="3350"/>
      <c r="I5" s="3350"/>
      <c r="J5" s="3350"/>
      <c r="K5" s="3350"/>
      <c r="L5" s="3350"/>
      <c r="M5" s="3350"/>
      <c r="N5" s="3350"/>
      <c r="O5" s="3350"/>
      <c r="P5" s="3350"/>
      <c r="Q5" s="3350"/>
      <c r="R5" s="3350"/>
      <c r="S5" s="3350"/>
      <c r="EY5" s="1054"/>
      <c r="EZ5" s="1054"/>
      <c r="FA5" s="1054"/>
      <c r="FB5" s="1055"/>
      <c r="FC5" s="1055"/>
      <c r="FD5" s="1055"/>
      <c r="FE5" s="1055"/>
      <c r="FF5" s="1055"/>
      <c r="FG5" s="1055"/>
      <c r="FH5" s="1055"/>
      <c r="FI5" s="1055"/>
      <c r="FJ5" s="1055"/>
      <c r="FK5" s="1055"/>
      <c r="FL5" s="1055"/>
      <c r="FM5" s="1055"/>
      <c r="FN5" s="1055"/>
      <c r="FO5" s="1055"/>
      <c r="FP5" s="1055"/>
      <c r="FQ5" s="1055"/>
      <c r="FR5" s="1055"/>
      <c r="FS5" s="1055"/>
      <c r="FT5" s="1055"/>
      <c r="FU5" s="1055"/>
      <c r="FV5" s="1055"/>
      <c r="FW5" s="1055"/>
      <c r="FX5" s="1209"/>
      <c r="FY5" s="1209"/>
      <c r="FZ5" s="1210"/>
      <c r="GA5" s="1210"/>
    </row>
    <row r="6" spans="1:183" s="1053" customFormat="1" ht="15" customHeight="1" x14ac:dyDescent="0.25">
      <c r="A6" s="3350"/>
      <c r="B6" s="3350"/>
      <c r="C6" s="3350"/>
      <c r="D6" s="3350"/>
      <c r="E6" s="3350"/>
      <c r="F6" s="3350"/>
      <c r="G6" s="3350"/>
      <c r="H6" s="3350"/>
      <c r="I6" s="3350"/>
      <c r="J6" s="3350"/>
      <c r="K6" s="3350"/>
      <c r="L6" s="3350"/>
      <c r="M6" s="3350"/>
      <c r="N6" s="3350"/>
      <c r="O6" s="3350"/>
      <c r="P6" s="3350"/>
      <c r="Q6" s="3350"/>
      <c r="R6" s="3350"/>
      <c r="S6" s="3350"/>
      <c r="EY6" s="1054"/>
      <c r="EZ6" s="1054"/>
      <c r="FA6" s="1054"/>
      <c r="FB6" s="1055"/>
      <c r="FC6" s="1055"/>
      <c r="FD6" s="1055"/>
      <c r="FE6" s="1055"/>
      <c r="FF6" s="1055"/>
      <c r="FG6" s="1055"/>
      <c r="FH6" s="1055"/>
      <c r="FI6" s="1055"/>
      <c r="FJ6" s="1055"/>
      <c r="FK6" s="1055"/>
      <c r="FL6" s="1055"/>
      <c r="FM6" s="1055"/>
      <c r="FN6" s="1055"/>
      <c r="FO6" s="1055"/>
      <c r="FP6" s="1055"/>
      <c r="FQ6" s="1055"/>
      <c r="FR6" s="1055"/>
      <c r="FS6" s="1055"/>
      <c r="FT6" s="1055"/>
      <c r="FU6" s="1055"/>
      <c r="FV6" s="1055"/>
      <c r="FW6" s="1055"/>
      <c r="FX6" s="1209"/>
      <c r="FY6" s="1209"/>
      <c r="FZ6" s="1210"/>
      <c r="GA6" s="1210"/>
    </row>
    <row r="7" spans="1:183" s="1053" customFormat="1" ht="27.75" thickBot="1" x14ac:dyDescent="0.3">
      <c r="A7" s="3351"/>
      <c r="B7" s="3351"/>
      <c r="C7" s="3351"/>
      <c r="D7" s="3351"/>
      <c r="E7" s="3351"/>
      <c r="F7" s="3351"/>
      <c r="G7" s="3351"/>
      <c r="H7" s="3351"/>
      <c r="I7" s="3351"/>
      <c r="J7" s="3351"/>
      <c r="K7" s="3351"/>
      <c r="L7" s="3351"/>
      <c r="M7" s="3351"/>
      <c r="N7" s="3351"/>
      <c r="O7" s="3351"/>
      <c r="P7" s="3351"/>
      <c r="Q7" s="3351"/>
      <c r="R7" s="3351"/>
      <c r="S7" s="3351"/>
      <c r="EY7" s="1054"/>
      <c r="EZ7" s="1054"/>
      <c r="FA7" s="1054"/>
      <c r="FB7" s="1055"/>
      <c r="FC7" s="1055"/>
      <c r="FD7" s="1055"/>
      <c r="FE7" s="1055"/>
      <c r="FF7" s="1055"/>
      <c r="FG7" s="1055"/>
      <c r="FH7" s="1055"/>
      <c r="FI7" s="1055"/>
      <c r="FJ7" s="1055"/>
      <c r="FK7" s="1055"/>
      <c r="FL7" s="1055"/>
      <c r="FM7" s="1055"/>
      <c r="FN7" s="1055"/>
      <c r="FO7" s="1055"/>
      <c r="FP7" s="1055"/>
      <c r="FQ7" s="1055"/>
      <c r="FR7" s="1055"/>
      <c r="FS7" s="1055"/>
      <c r="FT7" s="1055"/>
      <c r="FU7" s="1055"/>
      <c r="FV7" s="1055"/>
      <c r="FW7" s="1055"/>
      <c r="FX7" s="1209"/>
      <c r="FY7" s="1209"/>
      <c r="FZ7" s="1210"/>
      <c r="GA7" s="1210"/>
    </row>
    <row r="8" spans="1:183" s="1053" customFormat="1" ht="42" customHeight="1" x14ac:dyDescent="0.65">
      <c r="A8" s="3360" t="s">
        <v>157</v>
      </c>
      <c r="B8" s="3360"/>
      <c r="C8" s="3360"/>
      <c r="D8" s="3360"/>
      <c r="E8" s="3360"/>
      <c r="F8" s="3360"/>
      <c r="G8" s="3360"/>
      <c r="H8" s="3360"/>
      <c r="I8" s="3360"/>
      <c r="J8" s="3360"/>
      <c r="K8" s="3360"/>
      <c r="L8" s="1056"/>
      <c r="EY8" s="1054"/>
      <c r="EZ8" s="1054"/>
      <c r="FA8" s="1054"/>
      <c r="FB8" s="1055"/>
      <c r="FC8" s="1055"/>
      <c r="FD8" s="1055"/>
      <c r="FE8" s="1055"/>
      <c r="FF8" s="1055"/>
      <c r="FG8" s="1055"/>
      <c r="FH8" s="1055"/>
      <c r="FI8" s="1055"/>
      <c r="FJ8" s="1055"/>
      <c r="FK8" s="1055"/>
      <c r="FL8" s="1055"/>
      <c r="FM8" s="1055"/>
      <c r="FN8" s="1055"/>
      <c r="FO8" s="1055"/>
      <c r="FP8" s="1055"/>
      <c r="FQ8" s="1055"/>
      <c r="FR8" s="1055"/>
      <c r="FS8" s="1055"/>
      <c r="FT8" s="1055"/>
      <c r="FU8" s="1055"/>
      <c r="FV8" s="1055"/>
      <c r="FW8" s="1055"/>
      <c r="FX8" s="1209"/>
      <c r="FY8" s="1209"/>
      <c r="FZ8" s="1210"/>
      <c r="GA8" s="1210"/>
    </row>
    <row r="9" spans="1:183" s="1059" customFormat="1" x14ac:dyDescent="0.35">
      <c r="A9" s="1057"/>
      <c r="B9" s="1058"/>
      <c r="J9" s="1060" t="s">
        <v>1</v>
      </c>
      <c r="K9" s="1238">
        <v>42416</v>
      </c>
      <c r="EY9" s="1061"/>
      <c r="EZ9" s="1061"/>
      <c r="FA9" s="1061"/>
      <c r="FB9" s="1062"/>
      <c r="FC9" s="1062"/>
      <c r="FD9" s="1062"/>
      <c r="FE9" s="1062"/>
      <c r="FF9" s="1062"/>
      <c r="FG9" s="1062"/>
      <c r="FH9" s="1062"/>
      <c r="FI9" s="1062"/>
      <c r="FJ9" s="1062"/>
      <c r="FK9" s="1062"/>
      <c r="FL9" s="1062"/>
      <c r="FM9" s="1062"/>
      <c r="FN9" s="1062"/>
      <c r="FO9" s="1062"/>
      <c r="FP9" s="1062"/>
      <c r="FQ9" s="1062"/>
      <c r="FR9" s="1062"/>
      <c r="FS9" s="1062"/>
      <c r="FT9" s="1062"/>
      <c r="FU9" s="1062"/>
      <c r="FV9" s="1062"/>
      <c r="FW9" s="1062"/>
      <c r="FX9" s="1211"/>
      <c r="FY9" s="1211"/>
      <c r="FZ9" s="1212"/>
      <c r="GA9" s="1212"/>
    </row>
    <row r="10" spans="1:183" s="1053" customFormat="1" ht="90.75" customHeight="1" x14ac:dyDescent="0.25">
      <c r="A10" s="1063" t="s">
        <v>399</v>
      </c>
      <c r="B10" s="1204" t="s">
        <v>600</v>
      </c>
      <c r="C10" s="3320" t="s">
        <v>275</v>
      </c>
      <c r="D10" s="3322"/>
      <c r="E10" s="1241" t="s">
        <v>276</v>
      </c>
      <c r="F10" s="1064"/>
      <c r="G10" s="3320" t="s">
        <v>399</v>
      </c>
      <c r="H10" s="3321"/>
      <c r="I10" s="3322"/>
      <c r="J10" s="1240" t="s">
        <v>275</v>
      </c>
      <c r="K10" s="1239" t="s">
        <v>276</v>
      </c>
      <c r="L10" s="1064"/>
      <c r="EY10" s="1054"/>
      <c r="EZ10" s="1054"/>
      <c r="FA10" s="1054"/>
      <c r="FB10" s="1055"/>
      <c r="FC10" s="1055"/>
      <c r="FD10" s="1055"/>
      <c r="FE10" s="1055"/>
      <c r="FF10" s="1055"/>
      <c r="FG10" s="1055"/>
      <c r="FH10" s="1055"/>
      <c r="FI10" s="1055"/>
      <c r="FJ10" s="1055"/>
      <c r="FK10" s="1055"/>
      <c r="FL10" s="1055"/>
      <c r="FM10" s="1055"/>
      <c r="FN10" s="1055"/>
      <c r="FO10" s="1055"/>
      <c r="FP10" s="1055"/>
      <c r="FQ10" s="1055"/>
      <c r="FR10" s="1055"/>
      <c r="FS10" s="1055"/>
      <c r="FT10" s="1055"/>
      <c r="FU10" s="1055"/>
      <c r="FV10" s="1055"/>
      <c r="FW10" s="1055"/>
      <c r="FX10" s="1209"/>
      <c r="FY10" s="1209"/>
      <c r="FZ10" s="1210"/>
      <c r="GA10" s="1210"/>
    </row>
    <row r="11" spans="1:183" s="1053" customFormat="1" ht="28.5" customHeight="1" x14ac:dyDescent="0.25">
      <c r="A11" s="3314" t="s">
        <v>1662</v>
      </c>
      <c r="B11" s="3315"/>
      <c r="C11" s="3315"/>
      <c r="D11" s="3315"/>
      <c r="E11" s="3316"/>
      <c r="F11" s="1065"/>
      <c r="G11" s="3323" t="s">
        <v>646</v>
      </c>
      <c r="H11" s="3323"/>
      <c r="I11" s="3323"/>
      <c r="J11" s="3323"/>
      <c r="K11" s="3323"/>
      <c r="L11" s="1244"/>
      <c r="EY11" s="1054"/>
      <c r="EZ11" s="1054"/>
      <c r="FA11" s="1054"/>
      <c r="FB11" s="1055"/>
      <c r="FC11" s="1055"/>
      <c r="FD11" s="1055"/>
      <c r="FE11" s="1055"/>
      <c r="FF11" s="1055"/>
      <c r="FG11" s="1055"/>
      <c r="FH11" s="1055"/>
      <c r="FI11" s="1055"/>
      <c r="FJ11" s="1055"/>
      <c r="FK11" s="1055"/>
      <c r="FL11" s="1055"/>
      <c r="FM11" s="1055"/>
      <c r="FN11" s="1055"/>
      <c r="FO11" s="1055"/>
      <c r="FP11" s="1055"/>
      <c r="FQ11" s="1055"/>
      <c r="FR11" s="1055"/>
      <c r="FS11" s="1055"/>
      <c r="FT11" s="1055"/>
      <c r="FU11" s="1055"/>
      <c r="FV11" s="1055"/>
      <c r="FW11" s="1055"/>
      <c r="FX11" s="1209"/>
      <c r="FY11" s="1209"/>
      <c r="FZ11" s="1210"/>
      <c r="GA11" s="1210"/>
    </row>
    <row r="12" spans="1:183" s="1053" customFormat="1" ht="28.5" customHeight="1" x14ac:dyDescent="0.4">
      <c r="A12" s="1067" t="s">
        <v>2181</v>
      </c>
      <c r="B12" s="1068">
        <v>2</v>
      </c>
      <c r="C12" s="3304" t="s">
        <v>107</v>
      </c>
      <c r="D12" s="3305"/>
      <c r="E12" s="1069">
        <f>ROUND(4*(1-B74),2)</f>
        <v>4</v>
      </c>
      <c r="F12" s="1065"/>
      <c r="G12" s="3328" t="s">
        <v>1885</v>
      </c>
      <c r="H12" s="3329"/>
      <c r="I12" s="3330"/>
      <c r="J12" s="1107" t="s">
        <v>107</v>
      </c>
      <c r="K12" s="1107">
        <f>ROUND(300*(1-H74),2)</f>
        <v>300</v>
      </c>
      <c r="EY12" s="1054"/>
      <c r="EZ12" s="1054"/>
      <c r="FA12" s="1054"/>
      <c r="FB12" s="1055"/>
      <c r="FC12" s="1055"/>
      <c r="FD12" s="1055"/>
      <c r="FE12" s="1055" t="s">
        <v>1848</v>
      </c>
      <c r="FF12" s="1055"/>
      <c r="FG12" s="1055"/>
      <c r="FH12" s="1055"/>
      <c r="FI12" s="1055"/>
      <c r="FJ12" s="1055"/>
      <c r="FK12" s="1055"/>
      <c r="FL12" s="1055"/>
      <c r="FM12" s="1055"/>
      <c r="FN12" s="1055"/>
      <c r="FO12" s="1055"/>
      <c r="FP12" s="1055"/>
      <c r="FQ12" s="1055"/>
      <c r="FR12" s="1055"/>
      <c r="FS12" s="1055"/>
      <c r="FT12" s="1055"/>
      <c r="FU12" s="1055"/>
      <c r="FV12" s="1055"/>
      <c r="FW12" s="1055"/>
      <c r="FX12" s="1209"/>
      <c r="FY12" s="1209"/>
      <c r="FZ12" s="1210"/>
      <c r="GA12" s="1210"/>
    </row>
    <row r="13" spans="1:183" s="1053" customFormat="1" ht="28.5" customHeight="1" x14ac:dyDescent="0.3">
      <c r="A13" s="1070" t="s">
        <v>2184</v>
      </c>
      <c r="B13" s="1203">
        <v>2</v>
      </c>
      <c r="C13" s="3300" t="s">
        <v>107</v>
      </c>
      <c r="D13" s="3301"/>
      <c r="E13" s="1071">
        <f>ROUND(4*(1-B74),2)</f>
        <v>4</v>
      </c>
      <c r="F13" s="1065"/>
      <c r="G13" s="3331" t="s">
        <v>647</v>
      </c>
      <c r="H13" s="3332"/>
      <c r="I13" s="3333"/>
      <c r="J13" s="1105" t="s">
        <v>107</v>
      </c>
      <c r="K13" s="1125" t="str">
        <f>ROUND(820*(1-H75),2)&amp;"**"</f>
        <v>820**</v>
      </c>
      <c r="EY13" s="1054"/>
      <c r="EZ13" s="1054"/>
      <c r="FA13" s="1054"/>
      <c r="FB13" s="1055"/>
      <c r="FC13" s="1055"/>
      <c r="FD13" s="1055"/>
      <c r="FE13" s="1055" t="s">
        <v>1849</v>
      </c>
      <c r="FF13" s="1055"/>
      <c r="FG13" s="1055"/>
      <c r="FH13" s="1055"/>
      <c r="FI13" s="1055"/>
      <c r="FJ13" s="1055"/>
      <c r="FK13" s="1055"/>
      <c r="FL13" s="1055"/>
      <c r="FM13" s="1055"/>
      <c r="FN13" s="1055"/>
      <c r="FO13" s="1055"/>
      <c r="FP13" s="1055"/>
      <c r="FQ13" s="1055"/>
      <c r="FR13" s="1055"/>
      <c r="FS13" s="1055"/>
      <c r="FT13" s="1055"/>
      <c r="FU13" s="1055"/>
      <c r="FV13" s="1072" t="s">
        <v>1850</v>
      </c>
      <c r="FW13" s="1072" t="s">
        <v>1851</v>
      </c>
      <c r="FX13" s="1209"/>
      <c r="FY13" s="1213"/>
      <c r="FZ13" s="1210"/>
      <c r="GA13" s="1210"/>
    </row>
    <row r="14" spans="1:183" s="1053" customFormat="1" ht="28.5" customHeight="1" x14ac:dyDescent="0.4">
      <c r="A14" s="1070" t="s">
        <v>2183</v>
      </c>
      <c r="B14" s="1203">
        <v>2</v>
      </c>
      <c r="C14" s="3300" t="s">
        <v>107</v>
      </c>
      <c r="D14" s="3301"/>
      <c r="E14" s="1071">
        <f>ROUND(5.5*(1-B74),2)</f>
        <v>5.5</v>
      </c>
      <c r="F14" s="1065"/>
      <c r="G14" s="3324" t="s">
        <v>2009</v>
      </c>
      <c r="H14" s="3324"/>
      <c r="I14" s="3324"/>
      <c r="J14" s="3324"/>
      <c r="K14" s="3324"/>
      <c r="L14" s="1066"/>
      <c r="EY14" s="1054"/>
      <c r="EZ14" s="1054"/>
      <c r="FA14" s="1054"/>
      <c r="FB14" s="1055"/>
      <c r="FC14" s="1055"/>
      <c r="FD14" s="1055"/>
      <c r="FE14" s="1055"/>
      <c r="FF14" s="1055"/>
      <c r="FG14" s="1055"/>
      <c r="FH14" s="1055"/>
      <c r="FI14" s="1055"/>
      <c r="FJ14" s="1055"/>
      <c r="FK14" s="1055"/>
      <c r="FL14" s="1055"/>
      <c r="FM14" s="1055"/>
      <c r="FN14" s="1055"/>
      <c r="FO14" s="1055"/>
      <c r="FP14" s="1055"/>
      <c r="FQ14" s="1055"/>
      <c r="FR14" s="1055"/>
      <c r="FS14" s="1055"/>
      <c r="FT14" s="1055"/>
      <c r="FU14" s="1055"/>
      <c r="FV14" s="1073" t="s">
        <v>1852</v>
      </c>
      <c r="FW14" s="1073" t="s">
        <v>1853</v>
      </c>
      <c r="FX14" s="1213"/>
      <c r="FY14" s="1213"/>
      <c r="FZ14" s="1210"/>
      <c r="GA14" s="1210"/>
    </row>
    <row r="15" spans="1:183" s="1053" customFormat="1" ht="28.5" customHeight="1" x14ac:dyDescent="0.4">
      <c r="A15" s="1074" t="s">
        <v>2182</v>
      </c>
      <c r="B15" s="1075">
        <v>2</v>
      </c>
      <c r="C15" s="3302" t="s">
        <v>107</v>
      </c>
      <c r="D15" s="3303"/>
      <c r="E15" s="1076">
        <f>ROUND(6.8*(1-B74),2)</f>
        <v>6.8</v>
      </c>
      <c r="F15" s="1065"/>
      <c r="G15" s="3317" t="s">
        <v>631</v>
      </c>
      <c r="H15" s="3318"/>
      <c r="I15" s="3319"/>
      <c r="J15" s="1251" t="s">
        <v>107</v>
      </c>
      <c r="K15" s="2056">
        <f>ROUND(403*(1-H76),2)</f>
        <v>403</v>
      </c>
      <c r="L15" s="1066"/>
      <c r="EY15" s="1054"/>
      <c r="EZ15" s="1054"/>
      <c r="FA15" s="1054"/>
      <c r="FB15" s="1055"/>
      <c r="FC15" s="1055"/>
      <c r="FD15" s="1055"/>
      <c r="FE15" s="1055" t="s">
        <v>1854</v>
      </c>
      <c r="FF15" s="1055"/>
      <c r="FG15" s="1055"/>
      <c r="FH15" s="1055"/>
      <c r="FI15" s="1055"/>
      <c r="FJ15" s="1055"/>
      <c r="FK15" s="1055"/>
      <c r="FL15" s="1055"/>
      <c r="FM15" s="1055"/>
      <c r="FN15" s="1055"/>
      <c r="FO15" s="1055"/>
      <c r="FP15" s="1055"/>
      <c r="FQ15" s="1055"/>
      <c r="FR15" s="1055"/>
      <c r="FS15" s="1055"/>
      <c r="FT15" s="1055"/>
      <c r="FU15" s="1055"/>
      <c r="FV15" s="1073" t="s">
        <v>1855</v>
      </c>
      <c r="FW15" s="1073" t="s">
        <v>1856</v>
      </c>
      <c r="FX15" s="1213"/>
      <c r="FY15" s="1213"/>
      <c r="FZ15" s="1210"/>
      <c r="GA15" s="1210"/>
    </row>
    <row r="16" spans="1:183" s="1053" customFormat="1" ht="28.5" customHeight="1" x14ac:dyDescent="0.4">
      <c r="A16" s="3314" t="s">
        <v>1663</v>
      </c>
      <c r="B16" s="3315"/>
      <c r="C16" s="3315"/>
      <c r="D16" s="3315"/>
      <c r="E16" s="3316"/>
      <c r="F16" s="1065"/>
      <c r="G16" s="3325" t="s">
        <v>616</v>
      </c>
      <c r="H16" s="3326"/>
      <c r="I16" s="3326"/>
      <c r="J16" s="3326"/>
      <c r="K16" s="3327"/>
      <c r="L16" s="1066"/>
      <c r="EY16" s="1054"/>
      <c r="EZ16" s="1054"/>
      <c r="FA16" s="1054"/>
      <c r="FB16" s="1055"/>
      <c r="FC16" s="1055"/>
      <c r="FD16" s="1055"/>
      <c r="FE16" s="1055"/>
      <c r="FF16" s="1055"/>
      <c r="FG16" s="1055"/>
      <c r="FH16" s="1055"/>
      <c r="FI16" s="1055"/>
      <c r="FJ16" s="1055"/>
      <c r="FK16" s="1055"/>
      <c r="FL16" s="1055"/>
      <c r="FM16" s="1055"/>
      <c r="FN16" s="1055"/>
      <c r="FO16" s="1055"/>
      <c r="FP16" s="1055"/>
      <c r="FQ16" s="1055"/>
      <c r="FR16" s="1055"/>
      <c r="FS16" s="1055"/>
      <c r="FT16" s="1055"/>
      <c r="FU16" s="1055"/>
      <c r="FV16" s="1073" t="s">
        <v>1857</v>
      </c>
      <c r="FW16" s="1073" t="s">
        <v>1858</v>
      </c>
      <c r="FX16" s="1213"/>
      <c r="FY16" s="1213"/>
      <c r="FZ16" s="1210"/>
      <c r="GA16" s="1210"/>
    </row>
    <row r="17" spans="1:183" s="1053" customFormat="1" ht="28.5" customHeight="1" x14ac:dyDescent="0.3">
      <c r="A17" s="1202" t="s">
        <v>617</v>
      </c>
      <c r="B17" s="1155" t="s">
        <v>17</v>
      </c>
      <c r="C17" s="3308" t="s">
        <v>107</v>
      </c>
      <c r="D17" s="3309"/>
      <c r="E17" s="1077">
        <f>ROUND(0.74*(1-B76),2)</f>
        <v>0.74</v>
      </c>
      <c r="F17" s="1065"/>
      <c r="G17" s="3331" t="s">
        <v>618</v>
      </c>
      <c r="H17" s="3332"/>
      <c r="I17" s="3333"/>
      <c r="J17" s="1103" t="s">
        <v>602</v>
      </c>
      <c r="K17" s="2055">
        <f>ROUND(5110*(1-H77),2)</f>
        <v>5110</v>
      </c>
      <c r="L17" s="1066"/>
      <c r="EY17" s="1054"/>
      <c r="EZ17" s="1054"/>
      <c r="FA17" s="1054"/>
      <c r="FB17" s="1055"/>
      <c r="FC17" s="1055"/>
      <c r="FD17" s="1055"/>
      <c r="FE17" s="1055" t="s">
        <v>1859</v>
      </c>
      <c r="FF17" s="1055"/>
      <c r="FG17" s="1055"/>
      <c r="FH17" s="1055"/>
      <c r="FI17" s="1055"/>
      <c r="FJ17" s="1055"/>
      <c r="FK17" s="1055"/>
      <c r="FL17" s="1055"/>
      <c r="FM17" s="1055"/>
      <c r="FN17" s="1055"/>
      <c r="FO17" s="1055"/>
      <c r="FP17" s="1055"/>
      <c r="FQ17" s="1055"/>
      <c r="FR17" s="1055"/>
      <c r="FS17" s="1055"/>
      <c r="FT17" s="1055"/>
      <c r="FU17" s="1055"/>
      <c r="FV17" s="1073" t="s">
        <v>1860</v>
      </c>
      <c r="FW17" s="1073" t="s">
        <v>1861</v>
      </c>
      <c r="FX17" s="1213"/>
      <c r="FY17" s="1213"/>
      <c r="FZ17" s="1210"/>
      <c r="GA17" s="1210"/>
    </row>
    <row r="18" spans="1:183" s="1053" customFormat="1" ht="28.5" customHeight="1" x14ac:dyDescent="0.3">
      <c r="A18" s="1079" t="s">
        <v>619</v>
      </c>
      <c r="B18" s="1156" t="s">
        <v>17</v>
      </c>
      <c r="C18" s="3310" t="s">
        <v>107</v>
      </c>
      <c r="D18" s="3311"/>
      <c r="E18" s="1080">
        <f>ROUND(0.74*(1-B76),2)</f>
        <v>0.74</v>
      </c>
      <c r="F18" s="1065"/>
      <c r="G18" s="3323" t="s">
        <v>660</v>
      </c>
      <c r="H18" s="3323"/>
      <c r="I18" s="3323"/>
      <c r="J18" s="3323"/>
      <c r="K18" s="3323"/>
      <c r="L18" s="1066"/>
      <c r="EY18" s="1054"/>
      <c r="EZ18" s="1054"/>
      <c r="FA18" s="1054"/>
      <c r="FB18" s="1055"/>
      <c r="FC18" s="1055"/>
      <c r="FD18" s="1055"/>
      <c r="FE18" s="1055" t="s">
        <v>1862</v>
      </c>
      <c r="FF18" s="1055"/>
      <c r="FG18" s="1055"/>
      <c r="FH18" s="1055"/>
      <c r="FI18" s="1055"/>
      <c r="FJ18" s="1055"/>
      <c r="FK18" s="1055"/>
      <c r="FL18" s="1055"/>
      <c r="FM18" s="1055"/>
      <c r="FN18" s="1055"/>
      <c r="FO18" s="1055"/>
      <c r="FP18" s="1055"/>
      <c r="FQ18" s="1055"/>
      <c r="FR18" s="1055"/>
      <c r="FS18" s="1055"/>
      <c r="FT18" s="1055"/>
      <c r="FU18" s="1055"/>
      <c r="FV18" s="1081"/>
      <c r="FW18" s="1081"/>
      <c r="FX18" s="1213"/>
      <c r="FY18" s="1213"/>
      <c r="FZ18" s="1210"/>
      <c r="GA18" s="1210"/>
    </row>
    <row r="19" spans="1:183" s="1053" customFormat="1" ht="28.5" customHeight="1" x14ac:dyDescent="0.25">
      <c r="A19" s="1082" t="s">
        <v>2185</v>
      </c>
      <c r="B19" s="1083">
        <v>2</v>
      </c>
      <c r="C19" s="3300" t="s">
        <v>107</v>
      </c>
      <c r="D19" s="3301"/>
      <c r="E19" s="1071">
        <f>ROUND(4*(1-B75),2)</f>
        <v>4</v>
      </c>
      <c r="F19" s="1065"/>
      <c r="G19" s="3317" t="s">
        <v>643</v>
      </c>
      <c r="H19" s="3318"/>
      <c r="I19" s="3319"/>
      <c r="J19" s="1115" t="s">
        <v>602</v>
      </c>
      <c r="K19" s="1252">
        <f>ROUND(740*(1-H78),2)</f>
        <v>740</v>
      </c>
      <c r="L19" s="1066"/>
      <c r="EY19" s="1054"/>
      <c r="EZ19" s="1054"/>
      <c r="FA19" s="1054"/>
      <c r="FB19" s="1055"/>
      <c r="FC19" s="1055"/>
      <c r="FD19" s="1055"/>
      <c r="FE19" s="1055" t="s">
        <v>1863</v>
      </c>
      <c r="FF19" s="1055"/>
      <c r="FG19" s="1055"/>
      <c r="FH19" s="1055"/>
      <c r="FI19" s="1055"/>
      <c r="FJ19" s="1055"/>
      <c r="FK19" s="1055"/>
      <c r="FL19" s="1055"/>
      <c r="FM19" s="1055"/>
      <c r="FN19" s="1055"/>
      <c r="FO19" s="1055"/>
      <c r="FP19" s="1055"/>
      <c r="FQ19" s="1055"/>
      <c r="FR19" s="1055"/>
      <c r="FS19" s="1055"/>
      <c r="FT19" s="1055"/>
      <c r="FU19" s="1055"/>
      <c r="FV19" s="1055"/>
      <c r="FW19" s="1055"/>
      <c r="FX19" s="1209"/>
      <c r="FY19" s="1209"/>
      <c r="FZ19" s="1210"/>
      <c r="GA19" s="1210"/>
    </row>
    <row r="20" spans="1:183" s="1053" customFormat="1" ht="28.5" customHeight="1" x14ac:dyDescent="0.3">
      <c r="A20" s="1070" t="s">
        <v>2187</v>
      </c>
      <c r="B20" s="1068">
        <v>5</v>
      </c>
      <c r="C20" s="3300" t="s">
        <v>107</v>
      </c>
      <c r="D20" s="3301"/>
      <c r="E20" s="1069">
        <f>ROUND(4*(1-B75),2)</f>
        <v>4</v>
      </c>
      <c r="F20" s="1065"/>
      <c r="G20" s="3334" t="s">
        <v>3196</v>
      </c>
      <c r="H20" s="3335"/>
      <c r="I20" s="3335"/>
      <c r="J20" s="3335"/>
      <c r="K20" s="3336"/>
      <c r="L20" s="1066"/>
      <c r="EY20" s="1054"/>
      <c r="EZ20" s="1054"/>
      <c r="FA20" s="1054"/>
      <c r="FB20" s="1055"/>
      <c r="FC20" s="1055"/>
      <c r="FD20" s="1055"/>
      <c r="FE20" s="1055" t="s">
        <v>1864</v>
      </c>
      <c r="FF20" s="1055"/>
      <c r="FG20" s="1055"/>
      <c r="FH20" s="1055"/>
      <c r="FI20" s="1055"/>
      <c r="FJ20" s="1055"/>
      <c r="FK20" s="1055"/>
      <c r="FL20" s="1055"/>
      <c r="FM20" s="1055"/>
      <c r="FN20" s="1055"/>
      <c r="FO20" s="1055"/>
      <c r="FP20" s="1055"/>
      <c r="FQ20" s="1055"/>
      <c r="FR20" s="1055"/>
      <c r="FS20" s="1055"/>
      <c r="FT20" s="1055"/>
      <c r="FU20" s="1055"/>
      <c r="FV20" s="1055"/>
      <c r="FW20" s="1055"/>
      <c r="FX20" s="1209"/>
      <c r="FY20" s="1213"/>
      <c r="FZ20" s="1210"/>
      <c r="GA20" s="1210"/>
    </row>
    <row r="21" spans="1:183" s="1053" customFormat="1" ht="28.5" customHeight="1" x14ac:dyDescent="0.25">
      <c r="A21" s="1070" t="s">
        <v>2186</v>
      </c>
      <c r="B21" s="1203">
        <v>5</v>
      </c>
      <c r="C21" s="3300" t="s">
        <v>107</v>
      </c>
      <c r="D21" s="3301"/>
      <c r="E21" s="1071">
        <f>ROUND(4*(1-B75),2)</f>
        <v>4</v>
      </c>
      <c r="F21" s="1065"/>
      <c r="G21" s="3331" t="s">
        <v>3197</v>
      </c>
      <c r="H21" s="3332"/>
      <c r="I21" s="3333"/>
      <c r="J21" s="1103" t="s">
        <v>107</v>
      </c>
      <c r="K21" s="1252">
        <f>ROUND(150*(1-H82),2)</f>
        <v>150</v>
      </c>
      <c r="L21" s="1066"/>
      <c r="EY21" s="1054"/>
      <c r="EZ21" s="1054"/>
      <c r="FA21" s="1054"/>
      <c r="FB21" s="1055"/>
      <c r="FC21" s="1055"/>
      <c r="FD21" s="1055"/>
      <c r="FE21" s="1055" t="s">
        <v>1865</v>
      </c>
      <c r="FF21" s="1055"/>
      <c r="FG21" s="1055"/>
      <c r="FH21" s="1055"/>
      <c r="FI21" s="1055"/>
      <c r="FJ21" s="1055"/>
      <c r="FK21" s="1055"/>
      <c r="FL21" s="1055"/>
      <c r="FM21" s="1055"/>
      <c r="FN21" s="1055"/>
      <c r="FO21" s="1055"/>
      <c r="FP21" s="1055"/>
      <c r="FQ21" s="1055"/>
      <c r="FR21" s="1055"/>
      <c r="FS21" s="1055"/>
      <c r="FT21" s="1055"/>
      <c r="FU21" s="1055"/>
      <c r="FV21" s="1085" t="s">
        <v>1866</v>
      </c>
      <c r="FW21" s="1086" t="str">
        <f ca="1">TEXT(TODAY(),"ДД.ММ.ГГГГ")</f>
        <v>30.05.2016</v>
      </c>
      <c r="FX21" s="1209"/>
      <c r="FY21" s="1209"/>
      <c r="FZ21" s="1210"/>
      <c r="GA21" s="1210"/>
    </row>
    <row r="22" spans="1:183" s="1053" customFormat="1" ht="28.5" customHeight="1" x14ac:dyDescent="0.4">
      <c r="A22" s="1082" t="s">
        <v>2188</v>
      </c>
      <c r="B22" s="1087">
        <v>5</v>
      </c>
      <c r="C22" s="3302" t="s">
        <v>107</v>
      </c>
      <c r="D22" s="3303"/>
      <c r="E22" s="1088">
        <f>ROUND(5*(1-B75),2)</f>
        <v>5</v>
      </c>
      <c r="F22" s="1065"/>
      <c r="G22" s="3324" t="s">
        <v>659</v>
      </c>
      <c r="H22" s="3324"/>
      <c r="I22" s="3324"/>
      <c r="J22" s="3324"/>
      <c r="K22" s="3324"/>
      <c r="EY22" s="1054"/>
      <c r="EZ22" s="1054"/>
      <c r="FA22" s="1054"/>
      <c r="FB22" s="1055"/>
      <c r="FC22" s="1055"/>
      <c r="FD22" s="1055"/>
      <c r="FE22" s="1055" t="s">
        <v>1867</v>
      </c>
      <c r="FF22" s="1055"/>
      <c r="FG22" s="1055"/>
      <c r="FH22" s="1055"/>
      <c r="FI22" s="1055"/>
      <c r="FJ22" s="1055"/>
      <c r="FK22" s="1055"/>
      <c r="FL22" s="1055"/>
      <c r="FM22" s="1055"/>
      <c r="FN22" s="1055"/>
      <c r="FO22" s="1055"/>
      <c r="FP22" s="1055"/>
      <c r="FQ22" s="1055"/>
      <c r="FR22" s="1055"/>
      <c r="FS22" s="1055"/>
      <c r="FT22" s="1055"/>
      <c r="FU22" s="1055"/>
      <c r="FV22" s="1089" t="s">
        <v>1868</v>
      </c>
      <c r="FW22" s="1090">
        <f ca="1">TODAY()-WEEKDAY(TODAY(),1)</f>
        <v>42518</v>
      </c>
      <c r="FX22" s="1209"/>
      <c r="FY22" s="1214"/>
      <c r="FZ22" s="1210"/>
      <c r="GA22" s="1210"/>
    </row>
    <row r="23" spans="1:183" s="1053" customFormat="1" ht="28.5" customHeight="1" x14ac:dyDescent="0.25">
      <c r="A23" s="3314" t="s">
        <v>1664</v>
      </c>
      <c r="B23" s="3315"/>
      <c r="C23" s="3315"/>
      <c r="D23" s="3315"/>
      <c r="E23" s="3316"/>
      <c r="F23" s="1065"/>
      <c r="G23" s="3317" t="s">
        <v>634</v>
      </c>
      <c r="H23" s="3318"/>
      <c r="I23" s="3319"/>
      <c r="J23" s="1251" t="s">
        <v>602</v>
      </c>
      <c r="K23" s="1253">
        <f>ROUND(4360*(1-H79),2)</f>
        <v>4360</v>
      </c>
      <c r="L23" s="1066"/>
      <c r="EY23" s="1054"/>
      <c r="EZ23" s="1054"/>
      <c r="FA23" s="1054"/>
      <c r="FB23" s="1055"/>
      <c r="FC23" s="1055"/>
      <c r="FD23" s="1055"/>
      <c r="FE23" s="1055" t="s">
        <v>1869</v>
      </c>
      <c r="FF23" s="1055"/>
      <c r="FG23" s="1055"/>
      <c r="FH23" s="1055"/>
      <c r="FI23" s="1055"/>
      <c r="FJ23" s="1055"/>
      <c r="FK23" s="1055"/>
      <c r="FL23" s="1055"/>
      <c r="FM23" s="1055"/>
      <c r="FN23" s="1055"/>
      <c r="FO23" s="1055"/>
      <c r="FP23" s="1055"/>
      <c r="FQ23" s="1055"/>
      <c r="FR23" s="1055"/>
      <c r="FS23" s="1055"/>
      <c r="FT23" s="1055"/>
      <c r="FU23" s="1055"/>
      <c r="FV23" s="1089" t="s">
        <v>1870</v>
      </c>
      <c r="FW23" s="1086">
        <f ca="1">VLOOKUP(FW22,cbr_1,3,1)</f>
        <v>85.654300000000006</v>
      </c>
      <c r="FX23" s="1209"/>
      <c r="FY23" s="1209"/>
      <c r="FZ23" s="1210"/>
      <c r="GA23" s="1210"/>
    </row>
    <row r="24" spans="1:183" s="1053" customFormat="1" ht="28.5" customHeight="1" x14ac:dyDescent="0.4">
      <c r="A24" s="1091" t="s">
        <v>603</v>
      </c>
      <c r="B24" s="1092">
        <v>0.9</v>
      </c>
      <c r="C24" s="3308" t="s">
        <v>107</v>
      </c>
      <c r="D24" s="3309"/>
      <c r="E24" s="1093">
        <f>ROUND(1.5*(1-B76),2)</f>
        <v>1.5</v>
      </c>
      <c r="F24" s="1065"/>
      <c r="G24" s="3325" t="s">
        <v>661</v>
      </c>
      <c r="H24" s="3326"/>
      <c r="I24" s="3326"/>
      <c r="J24" s="3326"/>
      <c r="K24" s="3327"/>
      <c r="L24" s="1066"/>
      <c r="EY24" s="1054"/>
      <c r="EZ24" s="1054"/>
      <c r="FA24" s="1054"/>
      <c r="FB24" s="1055"/>
      <c r="FC24" s="1055"/>
      <c r="FD24" s="1055"/>
      <c r="FE24" s="1055" t="s">
        <v>1849</v>
      </c>
      <c r="FF24" s="1055"/>
      <c r="FG24" s="1055"/>
      <c r="FH24" s="1055"/>
      <c r="FI24" s="1055"/>
      <c r="FJ24" s="1055"/>
      <c r="FK24" s="1055"/>
      <c r="FL24" s="1055"/>
      <c r="FM24" s="1055"/>
      <c r="FN24" s="1055"/>
      <c r="FO24" s="1055"/>
      <c r="FP24" s="1055"/>
      <c r="FQ24" s="1055"/>
      <c r="FR24" s="1055"/>
      <c r="FS24" s="1055"/>
      <c r="FT24" s="1055"/>
      <c r="FU24" s="1055"/>
      <c r="FV24" s="1055"/>
      <c r="FW24" s="1055"/>
      <c r="FX24" s="1209"/>
      <c r="FY24" s="1209"/>
      <c r="FZ24" s="1210"/>
      <c r="GA24" s="1210"/>
    </row>
    <row r="25" spans="1:183" s="1053" customFormat="1" ht="30.75" customHeight="1" x14ac:dyDescent="0.25">
      <c r="A25" s="1094" t="s">
        <v>604</v>
      </c>
      <c r="B25" s="1095">
        <v>0.9</v>
      </c>
      <c r="C25" s="3310" t="s">
        <v>107</v>
      </c>
      <c r="D25" s="3311"/>
      <c r="E25" s="1096">
        <f>ROUND(1.55*(1-B76),2)</f>
        <v>1.55</v>
      </c>
      <c r="F25" s="1065"/>
      <c r="G25" s="3359" t="s">
        <v>2011</v>
      </c>
      <c r="H25" s="3357" t="s">
        <v>662</v>
      </c>
      <c r="I25" s="3356" t="s">
        <v>663</v>
      </c>
      <c r="J25" s="3357" t="s">
        <v>275</v>
      </c>
      <c r="K25" s="3358" t="s">
        <v>276</v>
      </c>
      <c r="L25" s="1066"/>
      <c r="EY25" s="1054"/>
      <c r="EZ25" s="1054"/>
      <c r="FA25" s="1054"/>
      <c r="FB25" s="1055"/>
      <c r="FC25" s="1055"/>
      <c r="FD25" s="1055"/>
      <c r="FE25" s="1055" t="s">
        <v>1854</v>
      </c>
      <c r="FF25" s="1055"/>
      <c r="FG25" s="1055"/>
      <c r="FH25" s="1055"/>
      <c r="FI25" s="1055"/>
      <c r="FJ25" s="1055"/>
      <c r="FK25" s="1055"/>
      <c r="FL25" s="1055"/>
      <c r="FM25" s="1055"/>
      <c r="FN25" s="1055"/>
      <c r="FO25" s="1055"/>
      <c r="FP25" s="1055"/>
      <c r="FQ25" s="1055"/>
      <c r="FR25" s="1055"/>
      <c r="FS25" s="1055"/>
      <c r="FT25" s="1055"/>
      <c r="FU25" s="1055"/>
      <c r="FV25" s="1055"/>
      <c r="FW25" s="1055"/>
      <c r="FX25" s="1209"/>
      <c r="FY25" s="1209"/>
      <c r="FZ25" s="1210"/>
      <c r="GA25" s="1210"/>
    </row>
    <row r="26" spans="1:183" s="1053" customFormat="1" ht="30.75" customHeight="1" x14ac:dyDescent="0.25">
      <c r="A26" s="1097" t="s">
        <v>606</v>
      </c>
      <c r="B26" s="1098">
        <v>0.9</v>
      </c>
      <c r="C26" s="3312" t="s">
        <v>107</v>
      </c>
      <c r="D26" s="3313"/>
      <c r="E26" s="1099">
        <f>ROUND(1.9*(1-B76),2)</f>
        <v>1.9</v>
      </c>
      <c r="F26" s="1065"/>
      <c r="G26" s="3359"/>
      <c r="H26" s="3357"/>
      <c r="I26" s="3356"/>
      <c r="J26" s="3357"/>
      <c r="K26" s="3358"/>
      <c r="L26" s="1066"/>
      <c r="EY26" s="1054"/>
      <c r="EZ26" s="1054"/>
      <c r="FA26" s="1054"/>
      <c r="FB26" s="1055"/>
      <c r="FC26" s="1055"/>
      <c r="FD26" s="1055"/>
      <c r="FE26" s="1055" t="s">
        <v>1848</v>
      </c>
      <c r="FF26" s="1055"/>
      <c r="FG26" s="1055"/>
      <c r="FH26" s="1055"/>
      <c r="FI26" s="1055"/>
      <c r="FJ26" s="1055"/>
      <c r="FK26" s="1055"/>
      <c r="FL26" s="1055"/>
      <c r="FM26" s="1055"/>
      <c r="FN26" s="1055"/>
      <c r="FO26" s="1055"/>
      <c r="FP26" s="1055"/>
      <c r="FQ26" s="1055"/>
      <c r="FR26" s="1055"/>
      <c r="FS26" s="1055"/>
      <c r="FT26" s="1055"/>
      <c r="FU26" s="1055"/>
      <c r="FV26" s="1055"/>
      <c r="FW26" s="1055"/>
      <c r="FX26" s="1209"/>
      <c r="FY26" s="1209"/>
      <c r="FZ26" s="1210"/>
      <c r="GA26" s="1210"/>
    </row>
    <row r="27" spans="1:183" s="1053" customFormat="1" ht="28.5" customHeight="1" x14ac:dyDescent="0.25">
      <c r="A27" s="1091" t="s">
        <v>610</v>
      </c>
      <c r="B27" s="1092">
        <v>0.9</v>
      </c>
      <c r="C27" s="3308" t="s">
        <v>107</v>
      </c>
      <c r="D27" s="3309"/>
      <c r="E27" s="1093">
        <f>ROUND(0.8*(1-B76),2)</f>
        <v>0.8</v>
      </c>
      <c r="F27" s="1065"/>
      <c r="G27" s="256" t="s">
        <v>1650</v>
      </c>
      <c r="H27" s="257" t="s">
        <v>664</v>
      </c>
      <c r="I27" s="257" t="s">
        <v>665</v>
      </c>
      <c r="J27" s="253" t="s">
        <v>107</v>
      </c>
      <c r="K27" s="258">
        <f>ROUND(360*(1-H80),2)</f>
        <v>360</v>
      </c>
      <c r="L27" s="1066"/>
      <c r="EY27" s="1054"/>
      <c r="EZ27" s="1054"/>
      <c r="FA27" s="1054"/>
      <c r="FB27" s="1055"/>
      <c r="FC27" s="1055"/>
      <c r="FD27" s="1055"/>
      <c r="FE27" s="1055" t="s">
        <v>1871</v>
      </c>
      <c r="FF27" s="1055"/>
      <c r="FG27" s="1055"/>
      <c r="FH27" s="1055"/>
      <c r="FI27" s="1055"/>
      <c r="FJ27" s="1055"/>
      <c r="FK27" s="1055"/>
      <c r="FL27" s="1055"/>
      <c r="FM27" s="1055"/>
      <c r="FN27" s="1055"/>
      <c r="FO27" s="1055"/>
      <c r="FP27" s="1055"/>
      <c r="FQ27" s="1055"/>
      <c r="FR27" s="1055"/>
      <c r="FS27" s="1055"/>
      <c r="FT27" s="1055"/>
      <c r="FU27" s="1055"/>
      <c r="FV27" s="1055"/>
      <c r="FW27" s="1055"/>
      <c r="FX27" s="1209"/>
      <c r="FY27" s="1209"/>
      <c r="FZ27" s="1210"/>
      <c r="GA27" s="1210"/>
    </row>
    <row r="28" spans="1:183" s="1053" customFormat="1" ht="28.5" customHeight="1" x14ac:dyDescent="0.25">
      <c r="A28" s="1094" t="s">
        <v>611</v>
      </c>
      <c r="B28" s="1095">
        <v>0.9</v>
      </c>
      <c r="C28" s="3310" t="s">
        <v>107</v>
      </c>
      <c r="D28" s="3311"/>
      <c r="E28" s="1096">
        <f>ROUND(0.88*(1-B76),2)</f>
        <v>0.88</v>
      </c>
      <c r="F28" s="1065"/>
      <c r="G28" s="259" t="s">
        <v>1651</v>
      </c>
      <c r="H28" s="260" t="s">
        <v>666</v>
      </c>
      <c r="I28" s="260" t="s">
        <v>665</v>
      </c>
      <c r="J28" s="261" t="s">
        <v>107</v>
      </c>
      <c r="K28" s="262">
        <f>ROUND(390*(1-H80),2)</f>
        <v>390</v>
      </c>
      <c r="L28" s="1066"/>
      <c r="EY28" s="1054"/>
      <c r="EZ28" s="1054"/>
      <c r="FA28" s="1054"/>
      <c r="FB28" s="1055"/>
      <c r="FC28" s="1055"/>
      <c r="FD28" s="1055"/>
      <c r="FE28" s="1055" t="s">
        <v>1872</v>
      </c>
      <c r="FF28" s="1055"/>
      <c r="FG28" s="1055"/>
      <c r="FH28" s="1055"/>
      <c r="FI28" s="1055"/>
      <c r="FJ28" s="1055"/>
      <c r="FK28" s="1055"/>
      <c r="FL28" s="1055"/>
      <c r="FM28" s="1055"/>
      <c r="FN28" s="1055"/>
      <c r="FO28" s="1055"/>
      <c r="FP28" s="1055"/>
      <c r="FQ28" s="1055"/>
      <c r="FR28" s="1055"/>
      <c r="FS28" s="1055"/>
      <c r="FT28" s="1055"/>
      <c r="FU28" s="1055"/>
      <c r="FV28" s="1055"/>
      <c r="FW28" s="1055"/>
      <c r="FX28" s="1209"/>
      <c r="FY28" s="1209"/>
      <c r="FZ28" s="1210"/>
      <c r="GA28" s="1210"/>
    </row>
    <row r="29" spans="1:183" s="1053" customFormat="1" ht="28.5" customHeight="1" x14ac:dyDescent="0.25">
      <c r="A29" s="1100" t="s">
        <v>612</v>
      </c>
      <c r="B29" s="1101">
        <v>0.9</v>
      </c>
      <c r="C29" s="3312" t="s">
        <v>107</v>
      </c>
      <c r="D29" s="3313"/>
      <c r="E29" s="1102">
        <f>ROUND(1.06*(1-B76),2)</f>
        <v>1.06</v>
      </c>
      <c r="F29" s="1065"/>
      <c r="G29" s="259" t="s">
        <v>1652</v>
      </c>
      <c r="H29" s="254" t="s">
        <v>667</v>
      </c>
      <c r="I29" s="254" t="s">
        <v>665</v>
      </c>
      <c r="J29" s="261" t="s">
        <v>107</v>
      </c>
      <c r="K29" s="262">
        <f>ROUND(750*(1-H80),2)</f>
        <v>750</v>
      </c>
      <c r="L29" s="1066"/>
      <c r="EY29" s="1054"/>
      <c r="EZ29" s="1054"/>
      <c r="FA29" s="1054"/>
      <c r="FB29" s="1055"/>
      <c r="FC29" s="1055"/>
      <c r="FD29" s="1055"/>
      <c r="FE29" s="1055" t="s">
        <v>1873</v>
      </c>
      <c r="FF29" s="1055"/>
      <c r="FG29" s="1055"/>
      <c r="FH29" s="1055"/>
      <c r="FI29" s="1055"/>
      <c r="FJ29" s="1055"/>
      <c r="FK29" s="1055"/>
      <c r="FL29" s="1055"/>
      <c r="FM29" s="1055"/>
      <c r="FN29" s="1055"/>
      <c r="FO29" s="1055"/>
      <c r="FP29" s="1055"/>
      <c r="FQ29" s="1055"/>
      <c r="FR29" s="1055"/>
      <c r="FS29" s="1055"/>
      <c r="FT29" s="1055"/>
      <c r="FU29" s="1055"/>
      <c r="FV29" s="1055"/>
      <c r="FW29" s="1055"/>
      <c r="FX29" s="1209"/>
      <c r="FY29" s="1209"/>
      <c r="FZ29" s="1210"/>
      <c r="GA29" s="1210"/>
    </row>
    <row r="30" spans="1:183" s="1053" customFormat="1" ht="30" x14ac:dyDescent="0.25">
      <c r="A30" s="3314" t="s">
        <v>1665</v>
      </c>
      <c r="B30" s="3315"/>
      <c r="C30" s="3315"/>
      <c r="D30" s="3315"/>
      <c r="E30" s="3316"/>
      <c r="F30" s="1065"/>
      <c r="G30" s="249" t="s">
        <v>1653</v>
      </c>
      <c r="H30" s="263" t="s">
        <v>668</v>
      </c>
      <c r="I30" s="263" t="s">
        <v>665</v>
      </c>
      <c r="J30" s="264" t="s">
        <v>107</v>
      </c>
      <c r="K30" s="265">
        <f>ROUND(910*(1-H80),2)</f>
        <v>910</v>
      </c>
      <c r="L30" s="1066"/>
      <c r="EY30" s="1054"/>
      <c r="EZ30" s="1054"/>
      <c r="FA30" s="1054"/>
      <c r="FB30" s="1055"/>
      <c r="FC30" s="1055"/>
      <c r="FD30" s="1055"/>
      <c r="FE30" s="1055" t="s">
        <v>1874</v>
      </c>
      <c r="FF30" s="1055"/>
      <c r="FG30" s="1055"/>
      <c r="FH30" s="1055"/>
      <c r="FI30" s="1055"/>
      <c r="FJ30" s="1055"/>
      <c r="FK30" s="1055"/>
      <c r="FL30" s="1055"/>
      <c r="FM30" s="1055"/>
      <c r="FN30" s="1055"/>
      <c r="FO30" s="1055"/>
      <c r="FP30" s="1055"/>
      <c r="FQ30" s="1055"/>
      <c r="FR30" s="1055"/>
      <c r="FS30" s="1055"/>
      <c r="FT30" s="1055"/>
      <c r="FU30" s="1055"/>
      <c r="FV30" s="1055"/>
      <c r="FW30" s="1055"/>
      <c r="FX30" s="1209"/>
      <c r="FY30" s="1209"/>
      <c r="FZ30" s="1210"/>
      <c r="GA30" s="1210"/>
    </row>
    <row r="31" spans="1:183" s="1053" customFormat="1" ht="28.5" customHeight="1" x14ac:dyDescent="0.25">
      <c r="A31" s="1091" t="s">
        <v>607</v>
      </c>
      <c r="B31" s="1092">
        <v>2</v>
      </c>
      <c r="C31" s="3308" t="s">
        <v>107</v>
      </c>
      <c r="D31" s="3309"/>
      <c r="E31" s="1077">
        <f>ROUND(1.75*(1-B76),2)</f>
        <v>1.75</v>
      </c>
      <c r="F31" s="1065"/>
      <c r="G31" s="249" t="s">
        <v>1655</v>
      </c>
      <c r="H31" s="250" t="s">
        <v>673</v>
      </c>
      <c r="I31" s="257" t="s">
        <v>665</v>
      </c>
      <c r="J31" s="252" t="s">
        <v>107</v>
      </c>
      <c r="K31" s="265">
        <f>ROUND(950*(1-H80),2)</f>
        <v>950</v>
      </c>
      <c r="L31" s="1066"/>
      <c r="EY31" s="1054"/>
      <c r="EZ31" s="1054"/>
      <c r="FA31" s="1054"/>
      <c r="FB31" s="1055"/>
      <c r="FC31" s="1055"/>
      <c r="FD31" s="1055"/>
      <c r="FE31" s="1055" t="s">
        <v>1862</v>
      </c>
      <c r="FF31" s="1055"/>
      <c r="FG31" s="1055"/>
      <c r="FH31" s="1055"/>
      <c r="FI31" s="1055"/>
      <c r="FJ31" s="1055"/>
      <c r="FK31" s="1055"/>
      <c r="FL31" s="1055"/>
      <c r="FM31" s="1055"/>
      <c r="FN31" s="1055"/>
      <c r="FO31" s="1055"/>
      <c r="FP31" s="1055"/>
      <c r="FQ31" s="1055"/>
      <c r="FR31" s="1055"/>
      <c r="FS31" s="1055"/>
      <c r="FT31" s="1055"/>
      <c r="FU31" s="1055"/>
      <c r="FV31" s="1055"/>
      <c r="FW31" s="1055"/>
      <c r="FX31" s="1209"/>
      <c r="FY31" s="1209"/>
      <c r="FZ31" s="1210"/>
      <c r="GA31" s="1210"/>
    </row>
    <row r="32" spans="1:183" s="1053" customFormat="1" ht="28.5" customHeight="1" x14ac:dyDescent="0.25">
      <c r="A32" s="1094" t="s">
        <v>608</v>
      </c>
      <c r="B32" s="1095">
        <v>2</v>
      </c>
      <c r="C32" s="3310" t="s">
        <v>107</v>
      </c>
      <c r="D32" s="3311"/>
      <c r="E32" s="1071">
        <f>ROUND(1.8*(1-B76),2)</f>
        <v>1.8</v>
      </c>
      <c r="F32" s="1065"/>
      <c r="G32" s="256" t="s">
        <v>1654</v>
      </c>
      <c r="H32" s="254" t="s">
        <v>669</v>
      </c>
      <c r="I32" s="254" t="s">
        <v>665</v>
      </c>
      <c r="J32" s="266" t="s">
        <v>107</v>
      </c>
      <c r="K32" s="267">
        <f>ROUND(1075*(1-H80),2)</f>
        <v>1075</v>
      </c>
      <c r="L32" s="1066"/>
      <c r="EY32" s="1054"/>
      <c r="EZ32" s="1054"/>
      <c r="FA32" s="1054"/>
      <c r="FB32" s="1055"/>
      <c r="FC32" s="1055"/>
      <c r="FD32" s="1055"/>
      <c r="FE32" s="1055" t="s">
        <v>1875</v>
      </c>
      <c r="FF32" s="1055"/>
      <c r="FG32" s="1055"/>
      <c r="FH32" s="1055"/>
      <c r="FI32" s="1055"/>
      <c r="FJ32" s="1055"/>
      <c r="FK32" s="1055"/>
      <c r="FL32" s="1055"/>
      <c r="FM32" s="1055"/>
      <c r="FN32" s="1055"/>
      <c r="FO32" s="1055"/>
      <c r="FP32" s="1055"/>
      <c r="FQ32" s="1055"/>
      <c r="FR32" s="1055"/>
      <c r="FS32" s="1055"/>
      <c r="FT32" s="1055"/>
      <c r="FU32" s="1055"/>
      <c r="FV32" s="1055"/>
      <c r="FW32" s="1055"/>
      <c r="FX32" s="1209"/>
      <c r="FY32" s="1209"/>
      <c r="FZ32" s="1210"/>
      <c r="GA32" s="1210"/>
    </row>
    <row r="33" spans="1:183" s="1053" customFormat="1" ht="28.5" customHeight="1" x14ac:dyDescent="0.25">
      <c r="A33" s="1100" t="s">
        <v>609</v>
      </c>
      <c r="B33" s="1101">
        <v>2</v>
      </c>
      <c r="C33" s="3312" t="s">
        <v>107</v>
      </c>
      <c r="D33" s="3313"/>
      <c r="E33" s="1102">
        <f>ROUND(2.09*(1-B76),2)</f>
        <v>2.09</v>
      </c>
      <c r="F33" s="1065"/>
      <c r="G33" s="249" t="s">
        <v>670</v>
      </c>
      <c r="H33" s="250" t="s">
        <v>671</v>
      </c>
      <c r="I33" s="250" t="s">
        <v>672</v>
      </c>
      <c r="J33" s="252" t="s">
        <v>107</v>
      </c>
      <c r="K33" s="265">
        <f>ROUND(910*(1-H80),2)</f>
        <v>910</v>
      </c>
      <c r="L33" s="1066"/>
      <c r="EY33" s="1054"/>
      <c r="EZ33" s="1054"/>
      <c r="FA33" s="1054"/>
      <c r="FB33" s="1055"/>
      <c r="FC33" s="1055"/>
      <c r="FD33" s="1055"/>
      <c r="FE33" s="1055" t="s">
        <v>1876</v>
      </c>
      <c r="FF33" s="1055"/>
      <c r="FG33" s="1055"/>
      <c r="FH33" s="1055"/>
      <c r="FI33" s="1055"/>
      <c r="FJ33" s="1055"/>
      <c r="FK33" s="1055"/>
      <c r="FL33" s="1055"/>
      <c r="FM33" s="1055"/>
      <c r="FN33" s="1055"/>
      <c r="FO33" s="1055"/>
      <c r="FP33" s="1055"/>
      <c r="FQ33" s="1055"/>
      <c r="FR33" s="1055"/>
      <c r="FS33" s="1055"/>
      <c r="FT33" s="1055"/>
      <c r="FU33" s="1055"/>
      <c r="FV33" s="1055"/>
      <c r="FW33" s="1055"/>
      <c r="FX33" s="1209"/>
      <c r="FY33" s="1209"/>
      <c r="FZ33" s="1210"/>
      <c r="GA33" s="1210"/>
    </row>
    <row r="34" spans="1:183" s="1053" customFormat="1" ht="28.5" customHeight="1" x14ac:dyDescent="0.25">
      <c r="A34" s="1091" t="s">
        <v>613</v>
      </c>
      <c r="B34" s="1092">
        <v>2</v>
      </c>
      <c r="C34" s="3308" t="s">
        <v>107</v>
      </c>
      <c r="D34" s="3309"/>
      <c r="E34" s="1077">
        <f>ROUND(0.93*(1-B76),2)</f>
        <v>0.93</v>
      </c>
      <c r="F34" s="1065"/>
      <c r="G34" s="1242" t="s">
        <v>2012</v>
      </c>
      <c r="H34" s="1243"/>
      <c r="I34" s="1243"/>
      <c r="J34" s="1243"/>
      <c r="K34" s="1237"/>
      <c r="L34" s="1066"/>
      <c r="EY34" s="1054"/>
      <c r="EZ34" s="1054"/>
      <c r="FA34" s="1054"/>
      <c r="FB34" s="1055"/>
      <c r="FC34" s="1055"/>
      <c r="FD34" s="1055"/>
      <c r="FE34" s="1055" t="s">
        <v>1877</v>
      </c>
      <c r="FF34" s="1055"/>
      <c r="FG34" s="1055"/>
      <c r="FH34" s="1055"/>
      <c r="FI34" s="1055"/>
      <c r="FJ34" s="1055"/>
      <c r="FK34" s="1055"/>
      <c r="FL34" s="1055"/>
      <c r="FM34" s="1055"/>
      <c r="FN34" s="1055"/>
      <c r="FO34" s="1055"/>
      <c r="FP34" s="1055"/>
      <c r="FQ34" s="1055"/>
      <c r="FR34" s="1055"/>
      <c r="FS34" s="1055"/>
      <c r="FT34" s="1055"/>
      <c r="FU34" s="1055"/>
      <c r="FV34" s="1055"/>
      <c r="FW34" s="1055"/>
      <c r="FX34" s="1209"/>
      <c r="FY34" s="1209"/>
      <c r="FZ34" s="1210"/>
      <c r="GA34" s="1210"/>
    </row>
    <row r="35" spans="1:183" s="1053" customFormat="1" ht="28.5" customHeight="1" x14ac:dyDescent="0.25">
      <c r="A35" s="1094" t="s">
        <v>614</v>
      </c>
      <c r="B35" s="1095">
        <v>2</v>
      </c>
      <c r="C35" s="3310" t="s">
        <v>107</v>
      </c>
      <c r="D35" s="3311"/>
      <c r="E35" s="1096">
        <f>ROUND(1.02*(1-B76),2)</f>
        <v>1.02</v>
      </c>
      <c r="F35" s="1065"/>
      <c r="G35" s="249" t="s">
        <v>696</v>
      </c>
      <c r="H35" s="250" t="s">
        <v>674</v>
      </c>
      <c r="I35" s="260" t="s">
        <v>665</v>
      </c>
      <c r="J35" s="252" t="s">
        <v>107</v>
      </c>
      <c r="K35" s="268">
        <f>ROUND(1290*(1-H80),2)</f>
        <v>1290</v>
      </c>
      <c r="L35" s="1066"/>
      <c r="EY35" s="1054"/>
      <c r="EZ35" s="1054"/>
      <c r="FA35" s="1054"/>
      <c r="FB35" s="1055"/>
      <c r="FC35" s="1055"/>
      <c r="FD35" s="1055"/>
      <c r="FE35" s="1055" t="s">
        <v>1878</v>
      </c>
      <c r="FF35" s="1055"/>
      <c r="FG35" s="1055"/>
      <c r="FH35" s="1055"/>
      <c r="FI35" s="1055"/>
      <c r="FJ35" s="1055"/>
      <c r="FK35" s="1055"/>
      <c r="FL35" s="1055"/>
      <c r="FM35" s="1055"/>
      <c r="FN35" s="1055"/>
      <c r="FO35" s="1055"/>
      <c r="FP35" s="1055"/>
      <c r="FQ35" s="1055"/>
      <c r="FR35" s="1055"/>
      <c r="FS35" s="1055"/>
      <c r="FT35" s="1055"/>
      <c r="FU35" s="1055"/>
      <c r="FV35" s="1055"/>
      <c r="FW35" s="1055"/>
      <c r="FX35" s="1209"/>
      <c r="FY35" s="1209"/>
      <c r="FZ35" s="1210"/>
      <c r="GA35" s="1210"/>
    </row>
    <row r="36" spans="1:183" s="1053" customFormat="1" ht="28.5" customHeight="1" x14ac:dyDescent="0.25">
      <c r="A36" s="1100" t="s">
        <v>615</v>
      </c>
      <c r="B36" s="1101">
        <v>2</v>
      </c>
      <c r="C36" s="3312" t="s">
        <v>107</v>
      </c>
      <c r="D36" s="3313"/>
      <c r="E36" s="1099">
        <f>ROUND(1.2*(1-B76),2)</f>
        <v>1.2</v>
      </c>
      <c r="F36" s="1065"/>
      <c r="G36" s="256" t="s">
        <v>697</v>
      </c>
      <c r="H36" s="263" t="s">
        <v>675</v>
      </c>
      <c r="I36" s="254" t="s">
        <v>665</v>
      </c>
      <c r="J36" s="253" t="s">
        <v>107</v>
      </c>
      <c r="K36" s="258">
        <f>ROUND(2755*(1-H80),2)</f>
        <v>2755</v>
      </c>
      <c r="L36" s="1066"/>
      <c r="EY36" s="1054"/>
      <c r="EZ36" s="1054"/>
      <c r="FA36" s="1054"/>
      <c r="FB36" s="1055"/>
      <c r="FC36" s="1055"/>
      <c r="FD36" s="1055"/>
      <c r="FE36" s="1055"/>
      <c r="FF36" s="1055"/>
      <c r="FG36" s="1055"/>
      <c r="FH36" s="1055"/>
      <c r="FI36" s="1055"/>
      <c r="FJ36" s="1055"/>
      <c r="FK36" s="1055"/>
      <c r="FL36" s="1055"/>
      <c r="FM36" s="1055"/>
      <c r="FN36" s="1055"/>
      <c r="FO36" s="1055"/>
      <c r="FP36" s="1055"/>
      <c r="FQ36" s="1055"/>
      <c r="FR36" s="1055"/>
      <c r="FS36" s="1055"/>
      <c r="FT36" s="1055"/>
      <c r="FU36" s="1055"/>
      <c r="FV36" s="1055"/>
      <c r="FW36" s="1055"/>
      <c r="FX36" s="1209"/>
      <c r="FY36" s="1209"/>
      <c r="FZ36" s="1210"/>
      <c r="GA36" s="1210"/>
    </row>
    <row r="37" spans="1:183" s="1053" customFormat="1" ht="28.5" customHeight="1" x14ac:dyDescent="0.25">
      <c r="A37" s="3314" t="s">
        <v>1666</v>
      </c>
      <c r="B37" s="3315"/>
      <c r="C37" s="3315"/>
      <c r="D37" s="3315"/>
      <c r="E37" s="3316"/>
      <c r="F37" s="1065"/>
      <c r="G37" s="249" t="s">
        <v>676</v>
      </c>
      <c r="H37" s="250" t="s">
        <v>677</v>
      </c>
      <c r="I37" s="263" t="s">
        <v>678</v>
      </c>
      <c r="J37" s="252" t="s">
        <v>107</v>
      </c>
      <c r="K37" s="265">
        <f>ROUND(1175*(1-H80),2)</f>
        <v>1175</v>
      </c>
      <c r="L37" s="1066"/>
      <c r="EY37" s="1054"/>
      <c r="EZ37" s="1054"/>
      <c r="FA37" s="1054"/>
      <c r="FB37" s="1055"/>
      <c r="FC37" s="1055"/>
      <c r="FD37" s="1055"/>
      <c r="FE37" s="1055" t="s">
        <v>2564</v>
      </c>
      <c r="FF37" s="1055"/>
      <c r="FG37" s="1055"/>
      <c r="FH37" s="1055"/>
      <c r="FI37" s="1055"/>
      <c r="FJ37" s="1055"/>
      <c r="FK37" s="1055"/>
      <c r="FL37" s="1055"/>
      <c r="FM37" s="1055"/>
      <c r="FN37" s="1055"/>
      <c r="FO37" s="1055"/>
      <c r="FP37" s="1055"/>
      <c r="FQ37" s="1055"/>
      <c r="FR37" s="1055"/>
      <c r="FS37" s="1055"/>
      <c r="FT37" s="1055"/>
      <c r="FU37" s="1055"/>
      <c r="FV37" s="1055"/>
      <c r="FW37" s="1055"/>
      <c r="FX37" s="1209"/>
      <c r="FY37" s="1209"/>
      <c r="FZ37" s="1210"/>
      <c r="GA37" s="1210"/>
    </row>
    <row r="38" spans="1:183" s="1053" customFormat="1" ht="28.5" customHeight="1" x14ac:dyDescent="0.25">
      <c r="A38" s="3340" t="s">
        <v>620</v>
      </c>
      <c r="B38" s="3341"/>
      <c r="C38" s="3308" t="s">
        <v>107</v>
      </c>
      <c r="D38" s="3309"/>
      <c r="E38" s="1071">
        <f>ROUND(1.5*(1-B76),2)</f>
        <v>1.5</v>
      </c>
      <c r="F38" s="1065"/>
      <c r="G38" s="256" t="s">
        <v>679</v>
      </c>
      <c r="H38" s="263" t="s">
        <v>680</v>
      </c>
      <c r="I38" s="250" t="s">
        <v>678</v>
      </c>
      <c r="J38" s="253" t="s">
        <v>107</v>
      </c>
      <c r="K38" s="258">
        <f>ROUND(1350*(1-H80),2)</f>
        <v>1350</v>
      </c>
      <c r="L38" s="1066"/>
      <c r="EY38" s="1054"/>
      <c r="EZ38" s="1054"/>
      <c r="FA38" s="1054"/>
      <c r="FB38" s="1055"/>
      <c r="FC38" s="1055"/>
      <c r="FD38" s="1055"/>
      <c r="FE38" s="1055" t="s">
        <v>1879</v>
      </c>
      <c r="FF38" s="1055" t="s">
        <v>1880</v>
      </c>
      <c r="FG38" s="1055" t="s">
        <v>1881</v>
      </c>
      <c r="FH38" s="1055"/>
      <c r="FI38" s="1055"/>
      <c r="FJ38" s="1055"/>
      <c r="FK38" s="1055"/>
      <c r="FL38" s="1055"/>
      <c r="FM38" s="1055"/>
      <c r="FN38" s="1055"/>
      <c r="FO38" s="1055"/>
      <c r="FP38" s="1055"/>
      <c r="FQ38" s="1055"/>
      <c r="FR38" s="1055"/>
      <c r="FS38" s="1055"/>
      <c r="FT38" s="1055"/>
      <c r="FU38" s="1055"/>
      <c r="FV38" s="1055"/>
      <c r="FW38" s="1055"/>
      <c r="FX38" s="1209"/>
      <c r="FY38" s="1209"/>
      <c r="FZ38" s="1210"/>
      <c r="GA38" s="1210"/>
    </row>
    <row r="39" spans="1:183" s="1053" customFormat="1" ht="30" x14ac:dyDescent="0.25">
      <c r="A39" s="3331" t="s">
        <v>621</v>
      </c>
      <c r="B39" s="3333"/>
      <c r="C39" s="3302" t="s">
        <v>107</v>
      </c>
      <c r="D39" s="3303"/>
      <c r="E39" s="1099">
        <f>ROUND(1.2*(1-B76),2)</f>
        <v>1.2</v>
      </c>
      <c r="F39" s="1065"/>
      <c r="G39" s="249" t="s">
        <v>681</v>
      </c>
      <c r="H39" s="250" t="s">
        <v>682</v>
      </c>
      <c r="I39" s="250" t="s">
        <v>678</v>
      </c>
      <c r="J39" s="252" t="s">
        <v>107</v>
      </c>
      <c r="K39" s="265">
        <f>ROUND(3900*(1-H80),2)</f>
        <v>3900</v>
      </c>
      <c r="L39" s="1066"/>
      <c r="EY39" s="1054"/>
      <c r="EZ39" s="1054"/>
      <c r="FA39" s="1054"/>
      <c r="FB39" s="1055"/>
      <c r="FC39" s="1055"/>
      <c r="FD39" s="1055"/>
      <c r="FE39" s="1104">
        <v>42157</v>
      </c>
      <c r="FF39" s="1055">
        <v>1</v>
      </c>
      <c r="FG39" s="1055">
        <v>57.701999999999998</v>
      </c>
      <c r="FH39" s="1055"/>
      <c r="FI39" s="1055"/>
      <c r="FJ39" s="1055"/>
      <c r="FK39" s="1055"/>
      <c r="FL39" s="1055"/>
      <c r="FM39" s="1055"/>
      <c r="FN39" s="1055"/>
      <c r="FO39" s="1055"/>
      <c r="FP39" s="1055"/>
      <c r="FQ39" s="1055"/>
      <c r="FR39" s="1055"/>
      <c r="FS39" s="1055"/>
      <c r="FT39" s="1055"/>
      <c r="FU39" s="1055"/>
      <c r="FV39" s="1055"/>
      <c r="FW39" s="1055"/>
      <c r="FX39" s="1209"/>
      <c r="FY39" s="1209"/>
      <c r="FZ39" s="1210"/>
      <c r="GA39" s="1210"/>
    </row>
    <row r="40" spans="1:183" s="1053" customFormat="1" ht="28.5" customHeight="1" x14ac:dyDescent="0.25">
      <c r="A40" s="3323" t="s">
        <v>622</v>
      </c>
      <c r="B40" s="3323"/>
      <c r="C40" s="3323"/>
      <c r="D40" s="3323"/>
      <c r="E40" s="3323"/>
      <c r="F40" s="1065"/>
      <c r="G40" s="249" t="s">
        <v>683</v>
      </c>
      <c r="H40" s="250" t="s">
        <v>677</v>
      </c>
      <c r="I40" s="254" t="s">
        <v>678</v>
      </c>
      <c r="J40" s="264" t="s">
        <v>107</v>
      </c>
      <c r="K40" s="265">
        <f>ROUND(1400*(1-H80),2)</f>
        <v>1400</v>
      </c>
      <c r="L40" s="1066"/>
      <c r="EY40" s="1054"/>
      <c r="EZ40" s="1054"/>
      <c r="FA40" s="1054"/>
      <c r="FB40" s="1055"/>
      <c r="FC40" s="1055"/>
      <c r="FD40" s="1055"/>
      <c r="FE40" s="1104">
        <v>42158</v>
      </c>
      <c r="FF40" s="1055">
        <v>1</v>
      </c>
      <c r="FG40" s="1055">
        <v>58.603700000000003</v>
      </c>
      <c r="FH40" s="1055"/>
      <c r="FI40" s="1055"/>
      <c r="FJ40" s="1055"/>
      <c r="FK40" s="1055"/>
      <c r="FL40" s="1055"/>
      <c r="FM40" s="1055"/>
      <c r="FN40" s="1055"/>
      <c r="FO40" s="1055"/>
      <c r="FP40" s="1055"/>
      <c r="FQ40" s="1055"/>
      <c r="FR40" s="1055"/>
      <c r="FS40" s="1055"/>
      <c r="FT40" s="1055"/>
      <c r="FU40" s="1055"/>
      <c r="FV40" s="1055"/>
      <c r="FW40" s="1055"/>
      <c r="FX40" s="1209"/>
      <c r="FY40" s="1209"/>
      <c r="FZ40" s="1210"/>
      <c r="GA40" s="1210"/>
    </row>
    <row r="41" spans="1:183" s="1053" customFormat="1" ht="28.5" customHeight="1" x14ac:dyDescent="0.25">
      <c r="A41" s="3344" t="s">
        <v>625</v>
      </c>
      <c r="B41" s="3345"/>
      <c r="C41" s="3304" t="s">
        <v>107</v>
      </c>
      <c r="D41" s="3305"/>
      <c r="E41" s="1108">
        <f>ROUND(48*(1-B77),2)</f>
        <v>48</v>
      </c>
      <c r="F41" s="1065"/>
      <c r="G41" s="249" t="s">
        <v>684</v>
      </c>
      <c r="H41" s="254" t="s">
        <v>680</v>
      </c>
      <c r="I41" s="263" t="s">
        <v>678</v>
      </c>
      <c r="J41" s="264" t="s">
        <v>107</v>
      </c>
      <c r="K41" s="262">
        <f>ROUND(1530*(1-H80),2)</f>
        <v>1530</v>
      </c>
      <c r="L41" s="1066"/>
      <c r="EY41" s="1054"/>
      <c r="EZ41" s="1054"/>
      <c r="FA41" s="1054"/>
      <c r="FB41" s="1055"/>
      <c r="FC41" s="1055"/>
      <c r="FD41" s="1055"/>
      <c r="FE41" s="1104">
        <v>42159</v>
      </c>
      <c r="FF41" s="1055">
        <v>1</v>
      </c>
      <c r="FG41" s="1055">
        <v>59.113</v>
      </c>
      <c r="FH41" s="1055"/>
      <c r="FI41" s="1055"/>
      <c r="FJ41" s="1055"/>
      <c r="FK41" s="1055"/>
      <c r="FL41" s="1055"/>
      <c r="FM41" s="1055"/>
      <c r="FN41" s="1055"/>
      <c r="FO41" s="1055"/>
      <c r="FP41" s="1055"/>
      <c r="FQ41" s="1055"/>
      <c r="FR41" s="1055"/>
      <c r="FS41" s="1055"/>
      <c r="FT41" s="1055"/>
      <c r="FU41" s="1055"/>
      <c r="FV41" s="1055"/>
      <c r="FW41" s="1055"/>
      <c r="FX41" s="1209"/>
      <c r="FY41" s="1209"/>
      <c r="FZ41" s="1210"/>
      <c r="GA41" s="1210"/>
    </row>
    <row r="42" spans="1:183" s="1053" customFormat="1" ht="28.5" customHeight="1" x14ac:dyDescent="0.25">
      <c r="A42" s="3338" t="s">
        <v>626</v>
      </c>
      <c r="B42" s="3339"/>
      <c r="C42" s="3300" t="s">
        <v>107</v>
      </c>
      <c r="D42" s="3301"/>
      <c r="E42" s="1108">
        <f>ROUND(220*(1-B77),2)</f>
        <v>220</v>
      </c>
      <c r="F42" s="1065"/>
      <c r="G42" s="249" t="s">
        <v>685</v>
      </c>
      <c r="H42" s="269" t="s">
        <v>686</v>
      </c>
      <c r="I42" s="250" t="s">
        <v>672</v>
      </c>
      <c r="J42" s="264" t="s">
        <v>107</v>
      </c>
      <c r="K42" s="265">
        <f>ROUND(1560*(1-H80),2)</f>
        <v>1560</v>
      </c>
      <c r="L42" s="1066"/>
      <c r="EY42" s="1054"/>
      <c r="EZ42" s="1054"/>
      <c r="FA42" s="1054"/>
      <c r="FB42" s="1055"/>
      <c r="FC42" s="1055"/>
      <c r="FD42" s="1055"/>
      <c r="FE42" s="1104">
        <v>42160</v>
      </c>
      <c r="FF42" s="1055">
        <v>1</v>
      </c>
      <c r="FG42" s="1055">
        <v>61.947099999999999</v>
      </c>
      <c r="FH42" s="1055"/>
      <c r="FI42" s="1055"/>
      <c r="FJ42" s="1055"/>
      <c r="FK42" s="1055"/>
      <c r="FL42" s="1055"/>
      <c r="FM42" s="1055"/>
      <c r="FN42" s="1055"/>
      <c r="FO42" s="1055"/>
      <c r="FP42" s="1055"/>
      <c r="FQ42" s="1055"/>
      <c r="FR42" s="1055"/>
      <c r="FS42" s="1055"/>
      <c r="FT42" s="1055"/>
      <c r="FU42" s="1055"/>
      <c r="FV42" s="1055"/>
      <c r="FW42" s="1055"/>
      <c r="FX42" s="1209"/>
      <c r="FY42" s="1209"/>
      <c r="FZ42" s="1210"/>
      <c r="GA42" s="1210"/>
    </row>
    <row r="43" spans="1:183" s="1053" customFormat="1" ht="28.5" customHeight="1" x14ac:dyDescent="0.25">
      <c r="A43" s="3306" t="s">
        <v>3413</v>
      </c>
      <c r="B43" s="3307"/>
      <c r="C43" s="3300" t="s">
        <v>107</v>
      </c>
      <c r="D43" s="3301"/>
      <c r="E43" s="1108">
        <f>ROUND(185*(1-B77),2)</f>
        <v>185</v>
      </c>
      <c r="F43" s="1065"/>
      <c r="G43" s="249" t="s">
        <v>687</v>
      </c>
      <c r="H43" s="250" t="s">
        <v>688</v>
      </c>
      <c r="I43" s="250" t="s">
        <v>672</v>
      </c>
      <c r="J43" s="264" t="s">
        <v>107</v>
      </c>
      <c r="K43" s="267">
        <f>ROUND(11150*(1-H80),2)</f>
        <v>11150</v>
      </c>
      <c r="L43" s="1066"/>
      <c r="EY43" s="1054"/>
      <c r="EZ43" s="1054"/>
      <c r="FA43" s="1054"/>
      <c r="FB43" s="1055"/>
      <c r="FC43" s="1055"/>
      <c r="FD43" s="1055"/>
      <c r="FE43" s="1104">
        <v>42161</v>
      </c>
      <c r="FF43" s="1055">
        <v>1</v>
      </c>
      <c r="FG43" s="1055">
        <v>63.322099999999999</v>
      </c>
      <c r="FH43" s="1055"/>
      <c r="FI43" s="1055"/>
      <c r="FJ43" s="1055"/>
      <c r="FK43" s="1055"/>
      <c r="FL43" s="1055"/>
      <c r="FM43" s="1055"/>
      <c r="FN43" s="1055"/>
      <c r="FO43" s="1055"/>
      <c r="FP43" s="1055"/>
      <c r="FQ43" s="1055"/>
      <c r="FR43" s="1055"/>
      <c r="FS43" s="1055"/>
      <c r="FT43" s="1055"/>
      <c r="FU43" s="1055"/>
      <c r="FV43" s="1055"/>
      <c r="FW43" s="1055"/>
      <c r="FX43" s="1209"/>
      <c r="FY43" s="1209"/>
      <c r="FZ43" s="1210"/>
      <c r="GA43" s="1210"/>
    </row>
    <row r="44" spans="1:183" s="1053" customFormat="1" ht="28.5" customHeight="1" x14ac:dyDescent="0.25">
      <c r="A44" s="3338" t="s">
        <v>627</v>
      </c>
      <c r="B44" s="3339"/>
      <c r="C44" s="3300" t="s">
        <v>107</v>
      </c>
      <c r="D44" s="3301"/>
      <c r="E44" s="1106">
        <f>ROUND(236*(1-B77),2)</f>
        <v>236</v>
      </c>
      <c r="F44" s="1065"/>
      <c r="G44" s="249" t="s">
        <v>689</v>
      </c>
      <c r="H44" s="250" t="s">
        <v>690</v>
      </c>
      <c r="I44" s="250" t="s">
        <v>691</v>
      </c>
      <c r="J44" s="264" t="s">
        <v>107</v>
      </c>
      <c r="K44" s="267">
        <f>ROUND(17600*(1-H80),2)</f>
        <v>17600</v>
      </c>
      <c r="L44" s="1066"/>
      <c r="EY44" s="1054"/>
      <c r="EZ44" s="1054"/>
      <c r="FA44" s="1054"/>
      <c r="FB44" s="1055"/>
      <c r="FC44" s="1055"/>
      <c r="FD44" s="1055"/>
      <c r="FE44" s="1104">
        <v>42164</v>
      </c>
      <c r="FF44" s="1055">
        <v>1</v>
      </c>
      <c r="FG44" s="1055">
        <v>62.505299999999998</v>
      </c>
      <c r="FH44" s="1055"/>
      <c r="FI44" s="1055"/>
      <c r="FJ44" s="1055"/>
      <c r="FK44" s="1055"/>
      <c r="FL44" s="1055"/>
      <c r="FM44" s="1055"/>
      <c r="FN44" s="1055"/>
      <c r="FO44" s="1055"/>
      <c r="FP44" s="1055"/>
      <c r="FQ44" s="1055"/>
      <c r="FR44" s="1055"/>
      <c r="FS44" s="1055"/>
      <c r="FT44" s="1055"/>
      <c r="FU44" s="1055"/>
      <c r="FV44" s="1055"/>
      <c r="FW44" s="1055"/>
      <c r="FX44" s="1209"/>
      <c r="FY44" s="1209"/>
      <c r="FZ44" s="1210"/>
      <c r="GA44" s="1210"/>
    </row>
    <row r="45" spans="1:183" s="1053" customFormat="1" ht="28.5" customHeight="1" x14ac:dyDescent="0.25">
      <c r="A45" s="3298" t="s">
        <v>628</v>
      </c>
      <c r="B45" s="3299"/>
      <c r="C45" s="3300" t="s">
        <v>107</v>
      </c>
      <c r="D45" s="3301"/>
      <c r="E45" s="1106">
        <f>ROUND(270*(1-B77),2)</f>
        <v>270</v>
      </c>
      <c r="F45" s="1065"/>
      <c r="G45" s="251" t="s">
        <v>692</v>
      </c>
      <c r="H45" s="254" t="s">
        <v>693</v>
      </c>
      <c r="I45" s="250" t="s">
        <v>694</v>
      </c>
      <c r="J45" s="264" t="s">
        <v>107</v>
      </c>
      <c r="K45" s="270">
        <f>ROUND(1900*(1-H80),2)</f>
        <v>1900</v>
      </c>
      <c r="L45" s="1066"/>
      <c r="EY45" s="1054"/>
      <c r="EZ45" s="1054"/>
      <c r="FA45" s="1054"/>
      <c r="FB45" s="1055"/>
      <c r="FC45" s="1055"/>
      <c r="FD45" s="1055"/>
      <c r="FE45" s="1104">
        <v>42165</v>
      </c>
      <c r="FF45" s="1055">
        <v>1</v>
      </c>
      <c r="FG45" s="1055">
        <v>63.072099999999999</v>
      </c>
      <c r="FH45" s="1055"/>
      <c r="FI45" s="1055"/>
      <c r="FJ45" s="1055"/>
      <c r="FK45" s="1055"/>
      <c r="FL45" s="1055"/>
      <c r="FM45" s="1055"/>
      <c r="FN45" s="1055"/>
      <c r="FO45" s="1055"/>
      <c r="FP45" s="1055"/>
      <c r="FQ45" s="1055"/>
      <c r="FR45" s="1055"/>
      <c r="FS45" s="1055"/>
      <c r="FT45" s="1055"/>
      <c r="FU45" s="1055"/>
      <c r="FV45" s="1055"/>
      <c r="FW45" s="1055"/>
      <c r="FX45" s="1209"/>
      <c r="FY45" s="1209"/>
      <c r="FZ45" s="1210"/>
      <c r="GA45" s="1210"/>
    </row>
    <row r="46" spans="1:183" s="1053" customFormat="1" ht="28.5" customHeight="1" x14ac:dyDescent="0.25">
      <c r="A46" s="3296" t="s">
        <v>629</v>
      </c>
      <c r="B46" s="3297"/>
      <c r="C46" s="3302" t="s">
        <v>107</v>
      </c>
      <c r="D46" s="3303"/>
      <c r="E46" s="1109">
        <f>ROUND(260*(1-B77),2)</f>
        <v>260</v>
      </c>
      <c r="F46" s="1065"/>
      <c r="G46" s="1242" t="s">
        <v>2013</v>
      </c>
      <c r="H46" s="1243"/>
      <c r="I46" s="1243"/>
      <c r="J46" s="1243"/>
      <c r="K46" s="1237"/>
      <c r="L46" s="1066"/>
      <c r="EY46" s="1054"/>
      <c r="EZ46" s="1054"/>
      <c r="FA46" s="1054"/>
      <c r="FB46" s="1055"/>
      <c r="FC46" s="1055"/>
      <c r="FD46" s="1055"/>
      <c r="FE46" s="1104">
        <v>42166</v>
      </c>
      <c r="FF46" s="1055">
        <v>1</v>
      </c>
      <c r="FG46" s="1055">
        <v>62.206400000000002</v>
      </c>
      <c r="FH46" s="1055"/>
      <c r="FI46" s="1055"/>
      <c r="FJ46" s="1055"/>
      <c r="FK46" s="1055"/>
      <c r="FL46" s="1055"/>
      <c r="FM46" s="1055"/>
      <c r="FN46" s="1055"/>
      <c r="FO46" s="1055"/>
      <c r="FP46" s="1055"/>
      <c r="FQ46" s="1055"/>
      <c r="FR46" s="1055"/>
      <c r="FS46" s="1055"/>
      <c r="FT46" s="1055"/>
      <c r="FU46" s="1055"/>
      <c r="FV46" s="1055"/>
      <c r="FW46" s="1055"/>
      <c r="FX46" s="1209"/>
      <c r="FY46" s="1209"/>
      <c r="FZ46" s="1210"/>
      <c r="GA46" s="1210"/>
    </row>
    <row r="47" spans="1:183" s="1053" customFormat="1" ht="28.5" customHeight="1" x14ac:dyDescent="0.25">
      <c r="A47" s="3342" t="s">
        <v>2198</v>
      </c>
      <c r="B47" s="3343"/>
      <c r="C47" s="3304" t="s">
        <v>107</v>
      </c>
      <c r="D47" s="3305"/>
      <c r="E47" s="1111">
        <f>ROUND(341*(1-B77),2)</f>
        <v>341</v>
      </c>
      <c r="F47" s="1065"/>
      <c r="G47" s="249" t="s">
        <v>683</v>
      </c>
      <c r="H47" s="250" t="s">
        <v>677</v>
      </c>
      <c r="I47" s="257" t="s">
        <v>672</v>
      </c>
      <c r="J47" s="252" t="s">
        <v>107</v>
      </c>
      <c r="K47" s="265">
        <f>ROUND(1840*(1-H80),2)</f>
        <v>1840</v>
      </c>
      <c r="L47" s="1110"/>
      <c r="EY47" s="1054"/>
      <c r="EZ47" s="1054"/>
      <c r="FA47" s="1054"/>
      <c r="FB47" s="1055"/>
      <c r="FC47" s="1055"/>
      <c r="FD47" s="1055"/>
      <c r="FE47" s="1104">
        <v>42167</v>
      </c>
      <c r="FF47" s="1055">
        <v>1</v>
      </c>
      <c r="FG47" s="1055">
        <v>61.4754</v>
      </c>
      <c r="FH47" s="1055"/>
      <c r="FI47" s="1055"/>
      <c r="FJ47" s="1055"/>
      <c r="FK47" s="1055"/>
      <c r="FL47" s="1055"/>
      <c r="FM47" s="1055"/>
      <c r="FN47" s="1055"/>
      <c r="FO47" s="1055"/>
      <c r="FP47" s="1055"/>
      <c r="FQ47" s="1055"/>
      <c r="FR47" s="1055"/>
      <c r="FS47" s="1055"/>
      <c r="FT47" s="1055"/>
      <c r="FU47" s="1055"/>
      <c r="FV47" s="1055"/>
      <c r="FW47" s="1055"/>
      <c r="FX47" s="1209"/>
      <c r="FY47" s="1209"/>
      <c r="FZ47" s="1210"/>
      <c r="GA47" s="1210"/>
    </row>
    <row r="48" spans="1:183" s="1053" customFormat="1" ht="28.5" customHeight="1" x14ac:dyDescent="0.25">
      <c r="A48" s="3298" t="s">
        <v>630</v>
      </c>
      <c r="B48" s="3299"/>
      <c r="C48" s="3300" t="s">
        <v>107</v>
      </c>
      <c r="D48" s="3301"/>
      <c r="E48" s="1108">
        <f>ROUND(320*(1-B77),2)</f>
        <v>320</v>
      </c>
      <c r="F48" s="1065"/>
      <c r="G48" s="247" t="s">
        <v>695</v>
      </c>
      <c r="H48" s="248" t="s">
        <v>680</v>
      </c>
      <c r="I48" s="250" t="s">
        <v>672</v>
      </c>
      <c r="J48" s="266" t="s">
        <v>107</v>
      </c>
      <c r="K48" s="267">
        <f>ROUND(2050*(1-H80),2)</f>
        <v>2050</v>
      </c>
      <c r="L48" s="1110"/>
      <c r="EY48" s="1054"/>
      <c r="EZ48" s="1054"/>
      <c r="FA48" s="1054"/>
      <c r="FB48" s="1055"/>
      <c r="FC48" s="1055"/>
      <c r="FD48" s="1055"/>
      <c r="FE48" s="1104">
        <v>42171</v>
      </c>
      <c r="FF48" s="1055">
        <v>1</v>
      </c>
      <c r="FG48" s="1055">
        <v>62.104500000000002</v>
      </c>
      <c r="FH48" s="1055"/>
      <c r="FI48" s="1055"/>
      <c r="FJ48" s="1055"/>
      <c r="FK48" s="1055"/>
      <c r="FL48" s="1055"/>
      <c r="FM48" s="1055"/>
      <c r="FN48" s="1055"/>
      <c r="FO48" s="1055"/>
      <c r="FP48" s="1055"/>
      <c r="FQ48" s="1055"/>
      <c r="FR48" s="1055"/>
      <c r="FS48" s="1055"/>
      <c r="FT48" s="1055"/>
      <c r="FU48" s="1055"/>
      <c r="FV48" s="1055"/>
      <c r="FW48" s="1055"/>
      <c r="FX48" s="1209"/>
      <c r="FY48" s="1209"/>
      <c r="FZ48" s="1210"/>
      <c r="GA48" s="1210"/>
    </row>
    <row r="49" spans="1:187" s="1053" customFormat="1" ht="28.5" customHeight="1" x14ac:dyDescent="0.25">
      <c r="A49" s="3296" t="s">
        <v>632</v>
      </c>
      <c r="B49" s="3297"/>
      <c r="C49" s="3302" t="s">
        <v>107</v>
      </c>
      <c r="D49" s="3303"/>
      <c r="E49" s="1109">
        <f>ROUND(420*(1-B77),2)</f>
        <v>420</v>
      </c>
      <c r="F49" s="1065"/>
      <c r="G49" s="247" t="s">
        <v>696</v>
      </c>
      <c r="H49" s="248" t="s">
        <v>674</v>
      </c>
      <c r="I49" s="263" t="s">
        <v>665</v>
      </c>
      <c r="J49" s="266" t="s">
        <v>107</v>
      </c>
      <c r="K49" s="267">
        <f>ROUND(1750*(1-H80),2)</f>
        <v>1750</v>
      </c>
      <c r="L49" s="1110"/>
      <c r="EY49" s="1054"/>
      <c r="EZ49" s="1054"/>
      <c r="FA49" s="1054"/>
      <c r="FB49" s="1055"/>
      <c r="FC49" s="1055"/>
      <c r="FD49" s="1055"/>
      <c r="FE49" s="1104">
        <v>42172</v>
      </c>
      <c r="FF49" s="1055">
        <v>1</v>
      </c>
      <c r="FG49" s="1055">
        <v>61.103999999999999</v>
      </c>
      <c r="FH49" s="1055"/>
      <c r="FI49" s="1055"/>
      <c r="FJ49" s="1055"/>
      <c r="FK49" s="1055"/>
      <c r="FL49" s="1055"/>
      <c r="FM49" s="1055"/>
      <c r="FN49" s="1055"/>
      <c r="FO49" s="1055"/>
      <c r="FP49" s="1055"/>
      <c r="FQ49" s="1055"/>
      <c r="FR49" s="1055"/>
      <c r="FS49" s="1055"/>
      <c r="FT49" s="1055"/>
      <c r="FU49" s="1055"/>
      <c r="FV49" s="1055"/>
      <c r="FW49" s="1055"/>
      <c r="FX49" s="1215"/>
      <c r="FY49" s="1209"/>
      <c r="FZ49" s="1210"/>
      <c r="GA49" s="1216"/>
    </row>
    <row r="50" spans="1:187" s="1053" customFormat="1" ht="28.5" customHeight="1" x14ac:dyDescent="0.25">
      <c r="A50" s="3353" t="s">
        <v>623</v>
      </c>
      <c r="B50" s="3355"/>
      <c r="C50" s="3304" t="s">
        <v>107</v>
      </c>
      <c r="D50" s="3305"/>
      <c r="E50" s="1106">
        <f>ROUND(80*(1-B77),2)</f>
        <v>80</v>
      </c>
      <c r="F50" s="1065"/>
      <c r="G50" s="247" t="s">
        <v>697</v>
      </c>
      <c r="H50" s="248" t="s">
        <v>675</v>
      </c>
      <c r="I50" s="250" t="s">
        <v>2241</v>
      </c>
      <c r="J50" s="266" t="s">
        <v>107</v>
      </c>
      <c r="K50" s="267">
        <f>ROUND(3730*(1-H80),2)</f>
        <v>3730</v>
      </c>
      <c r="L50" s="1110"/>
      <c r="EY50" s="1054"/>
      <c r="EZ50" s="1054"/>
      <c r="FA50" s="1054"/>
      <c r="FB50" s="1055"/>
      <c r="FC50" s="1055"/>
      <c r="FD50" s="1055"/>
      <c r="FE50" s="1104">
        <v>42173</v>
      </c>
      <c r="FF50" s="1055">
        <v>1</v>
      </c>
      <c r="FG50" s="1055">
        <v>60.745199999999997</v>
      </c>
      <c r="FH50" s="1055"/>
      <c r="FI50" s="1055"/>
      <c r="FJ50" s="1055"/>
      <c r="FK50" s="1055"/>
      <c r="FL50" s="1055"/>
      <c r="FM50" s="1055"/>
      <c r="FN50" s="1055"/>
      <c r="FO50" s="1055"/>
      <c r="FP50" s="1055"/>
      <c r="FQ50" s="1055"/>
      <c r="FR50" s="1055"/>
      <c r="FS50" s="1055"/>
      <c r="FT50" s="1055"/>
      <c r="FU50" s="1055"/>
      <c r="FV50" s="1055"/>
      <c r="FW50" s="1055"/>
      <c r="FX50" s="1215"/>
      <c r="FY50" s="1209"/>
      <c r="FZ50" s="1210"/>
      <c r="GA50" s="1216"/>
    </row>
    <row r="51" spans="1:187" s="1053" customFormat="1" ht="28.5" customHeight="1" x14ac:dyDescent="0.25">
      <c r="A51" s="3298" t="s">
        <v>624</v>
      </c>
      <c r="B51" s="3299"/>
      <c r="C51" s="3300" t="s">
        <v>107</v>
      </c>
      <c r="D51" s="3301"/>
      <c r="E51" s="1112">
        <f>ROUND(96*(1-B77),2)</f>
        <v>96</v>
      </c>
      <c r="F51" s="1113"/>
      <c r="G51" s="249" t="s">
        <v>687</v>
      </c>
      <c r="H51" s="248" t="s">
        <v>688</v>
      </c>
      <c r="I51" s="250" t="s">
        <v>2242</v>
      </c>
      <c r="J51" s="266" t="s">
        <v>107</v>
      </c>
      <c r="K51" s="267">
        <f>ROUND(19500*(1-H80),2)</f>
        <v>19500</v>
      </c>
      <c r="L51" s="1110"/>
      <c r="EY51" s="1054"/>
      <c r="EZ51" s="1054"/>
      <c r="FA51" s="1054"/>
      <c r="FB51" s="1055"/>
      <c r="FC51" s="1055"/>
      <c r="FD51" s="1055"/>
      <c r="FE51" s="1104">
        <v>42174</v>
      </c>
      <c r="FF51" s="1055">
        <v>1</v>
      </c>
      <c r="FG51" s="1055">
        <v>60.6417</v>
      </c>
      <c r="FH51" s="1055"/>
      <c r="FI51" s="1055"/>
      <c r="FJ51" s="1055"/>
      <c r="FK51" s="1055"/>
      <c r="FL51" s="1055"/>
      <c r="FM51" s="1055"/>
      <c r="FN51" s="1055"/>
      <c r="FO51" s="1055"/>
      <c r="FP51" s="1055"/>
      <c r="FQ51" s="1055"/>
      <c r="FR51" s="1055"/>
      <c r="FS51" s="1055"/>
      <c r="FT51" s="1055"/>
      <c r="FU51" s="1055"/>
      <c r="FV51" s="1055"/>
      <c r="FW51" s="1055"/>
      <c r="FX51" s="1215"/>
      <c r="FY51" s="1209"/>
      <c r="FZ51" s="1210"/>
      <c r="GA51" s="1216"/>
    </row>
    <row r="52" spans="1:187" s="1053" customFormat="1" ht="28.5" customHeight="1" x14ac:dyDescent="0.25">
      <c r="A52" s="3298" t="s">
        <v>633</v>
      </c>
      <c r="B52" s="3299"/>
      <c r="C52" s="3300" t="s">
        <v>107</v>
      </c>
      <c r="D52" s="3301"/>
      <c r="E52" s="1106">
        <f>ROUND(50*(1-B77),2)</f>
        <v>50</v>
      </c>
      <c r="F52" s="1113"/>
      <c r="G52" s="249" t="s">
        <v>689</v>
      </c>
      <c r="H52" s="248" t="s">
        <v>698</v>
      </c>
      <c r="I52" s="250" t="s">
        <v>2242</v>
      </c>
      <c r="J52" s="266" t="s">
        <v>107</v>
      </c>
      <c r="K52" s="267">
        <f>ROUND(25400*(1-H80),2)</f>
        <v>25400</v>
      </c>
      <c r="L52" s="1110"/>
      <c r="EY52" s="1054"/>
      <c r="EZ52" s="1054"/>
      <c r="FA52" s="1054"/>
      <c r="FB52" s="1055"/>
      <c r="FC52" s="1055"/>
      <c r="FD52" s="1055"/>
      <c r="FE52" s="1104">
        <v>42175</v>
      </c>
      <c r="FF52" s="1055">
        <v>1</v>
      </c>
      <c r="FG52" s="1055">
        <v>60.912999999999997</v>
      </c>
      <c r="FH52" s="1055"/>
      <c r="FI52" s="1055"/>
      <c r="FJ52" s="1055"/>
      <c r="FK52" s="1055"/>
      <c r="FL52" s="1055"/>
      <c r="FM52" s="1055"/>
      <c r="FN52" s="1055"/>
      <c r="FO52" s="1055"/>
      <c r="FP52" s="1055"/>
      <c r="FQ52" s="1055"/>
      <c r="FR52" s="1055"/>
      <c r="FS52" s="1055"/>
      <c r="FT52" s="1055"/>
      <c r="FU52" s="1055"/>
      <c r="FV52" s="1114"/>
      <c r="FW52" s="1055"/>
      <c r="FX52" s="1215"/>
      <c r="FY52" s="1209"/>
      <c r="FZ52" s="1210"/>
      <c r="GA52" s="1216"/>
    </row>
    <row r="53" spans="1:187" s="1053" customFormat="1" ht="28.5" customHeight="1" x14ac:dyDescent="0.25">
      <c r="A53" s="3298" t="s">
        <v>635</v>
      </c>
      <c r="B53" s="3299"/>
      <c r="C53" s="3300" t="s">
        <v>107</v>
      </c>
      <c r="D53" s="3301"/>
      <c r="E53" s="1106">
        <f>ROUND(60*(1-B77),2)</f>
        <v>60</v>
      </c>
      <c r="F53" s="1113"/>
      <c r="G53" s="247" t="s">
        <v>676</v>
      </c>
      <c r="H53" s="248" t="s">
        <v>677</v>
      </c>
      <c r="I53" s="250" t="s">
        <v>2242</v>
      </c>
      <c r="J53" s="266" t="s">
        <v>107</v>
      </c>
      <c r="K53" s="267">
        <f>ROUND(1270*(1-H80),2)</f>
        <v>1270</v>
      </c>
      <c r="L53" s="1110"/>
      <c r="EY53" s="1054"/>
      <c r="EZ53" s="1054"/>
      <c r="FA53" s="1054"/>
      <c r="FB53" s="1055"/>
      <c r="FC53" s="1055"/>
      <c r="FD53" s="1055"/>
      <c r="FE53" s="1104">
        <v>42178</v>
      </c>
      <c r="FF53" s="1055">
        <v>1</v>
      </c>
      <c r="FG53" s="1055">
        <v>60.856699999999996</v>
      </c>
      <c r="FH53" s="1055"/>
      <c r="FI53" s="1055"/>
      <c r="FJ53" s="1055"/>
      <c r="FK53" s="1055"/>
      <c r="FL53" s="1055"/>
      <c r="FM53" s="1055"/>
      <c r="FN53" s="1055"/>
      <c r="FO53" s="1055"/>
      <c r="FP53" s="1055"/>
      <c r="FQ53" s="1055"/>
      <c r="FR53" s="1055"/>
      <c r="FS53" s="1116"/>
      <c r="FT53" s="1116"/>
      <c r="FU53" s="1116"/>
      <c r="FV53" s="1116"/>
      <c r="FW53" s="1116"/>
      <c r="FX53" s="1217"/>
      <c r="FY53" s="1209"/>
      <c r="FZ53" s="1210"/>
      <c r="GA53" s="1216"/>
    </row>
    <row r="54" spans="1:187" s="1053" customFormat="1" ht="28.5" customHeight="1" x14ac:dyDescent="0.25">
      <c r="A54" s="3298" t="s">
        <v>637</v>
      </c>
      <c r="B54" s="3299"/>
      <c r="C54" s="3300" t="s">
        <v>107</v>
      </c>
      <c r="D54" s="3301"/>
      <c r="E54" s="1106">
        <f>ROUND(80*(1-B77),2)</f>
        <v>80</v>
      </c>
      <c r="F54" s="1113"/>
      <c r="G54" s="247" t="s">
        <v>679</v>
      </c>
      <c r="H54" s="248" t="s">
        <v>680</v>
      </c>
      <c r="I54" s="250" t="s">
        <v>2243</v>
      </c>
      <c r="J54" s="266" t="s">
        <v>107</v>
      </c>
      <c r="K54" s="267">
        <f>ROUND(1750*(1-H80),2)</f>
        <v>1750</v>
      </c>
      <c r="L54" s="1110"/>
      <c r="EY54" s="1054"/>
      <c r="EZ54" s="1054"/>
      <c r="FA54" s="1054"/>
      <c r="FB54" s="1055"/>
      <c r="FC54" s="1055"/>
      <c r="FD54" s="1055"/>
      <c r="FE54" s="1104">
        <v>42179</v>
      </c>
      <c r="FF54" s="1055">
        <v>1</v>
      </c>
      <c r="FG54" s="1055">
        <v>61.054600000000001</v>
      </c>
      <c r="FH54" s="1055"/>
      <c r="FI54" s="1055"/>
      <c r="FJ54" s="1055"/>
      <c r="FK54" s="1055"/>
      <c r="FL54" s="1055"/>
      <c r="FM54" s="1055"/>
      <c r="FN54" s="1055"/>
      <c r="FO54" s="1055"/>
      <c r="FP54" s="1055"/>
      <c r="FQ54" s="1055"/>
      <c r="FR54" s="1055"/>
      <c r="FS54" s="1117"/>
      <c r="FT54" s="1118"/>
      <c r="FU54" s="1119">
        <f ca="1">$FW$23</f>
        <v>85.654300000000006</v>
      </c>
      <c r="FV54" s="1114">
        <f ca="1">((3.0714*3)*2+3.0716)/2*$FU$54*2*1.2*100/(20.6667*((0.75*2)+(1.1013+0.3987)))</f>
        <v>3564.3183478736328</v>
      </c>
      <c r="FW54" s="1120" t="s">
        <v>1882</v>
      </c>
      <c r="FX54" s="1218"/>
      <c r="FY54" s="1209"/>
      <c r="FZ54" s="1210"/>
      <c r="GA54" s="1210"/>
    </row>
    <row r="55" spans="1:187" s="1053" customFormat="1" ht="28.5" customHeight="1" x14ac:dyDescent="0.25">
      <c r="A55" s="3298" t="s">
        <v>639</v>
      </c>
      <c r="B55" s="3299"/>
      <c r="C55" s="3300" t="s">
        <v>107</v>
      </c>
      <c r="D55" s="3301"/>
      <c r="E55" s="1106">
        <f>ROUND(95*(1-B77),2)</f>
        <v>95</v>
      </c>
      <c r="F55" s="1113"/>
      <c r="G55" s="271" t="s">
        <v>699</v>
      </c>
      <c r="H55" s="255" t="s">
        <v>700</v>
      </c>
      <c r="I55" s="255" t="s">
        <v>2244</v>
      </c>
      <c r="J55" s="272" t="s">
        <v>107</v>
      </c>
      <c r="K55" s="273">
        <f>ROUND(2050*(1-H80),2)</f>
        <v>2050</v>
      </c>
      <c r="L55" s="1110"/>
      <c r="EY55" s="1054"/>
      <c r="EZ55" s="1054"/>
      <c r="FA55" s="1054"/>
      <c r="FB55" s="1055"/>
      <c r="FC55" s="1055"/>
      <c r="FD55" s="1055"/>
      <c r="FE55" s="1104">
        <v>42180</v>
      </c>
      <c r="FF55" s="1055">
        <v>1</v>
      </c>
      <c r="FG55" s="1055">
        <v>60.5852</v>
      </c>
      <c r="FH55" s="1055"/>
      <c r="FI55" s="1055"/>
      <c r="FJ55" s="1055"/>
      <c r="FK55" s="1055"/>
      <c r="FL55" s="1055"/>
      <c r="FM55" s="1055"/>
      <c r="FN55" s="1055"/>
      <c r="FO55" s="1055"/>
      <c r="FP55" s="1055"/>
      <c r="FQ55" s="1055"/>
      <c r="FR55" s="1055"/>
      <c r="FS55" s="1117"/>
      <c r="FT55" s="1118"/>
      <c r="FU55" s="1119"/>
      <c r="FV55" s="1114">
        <f ca="1">((4.975*3)+13.79+30.985-(13*3.0154)+0.0002)*7*$FU$54/7*1.2*100/(20.6667*((0.75*2)+(1.1013+0.3987)))</f>
        <v>3398.5360991353236</v>
      </c>
      <c r="FW55" s="1154" t="s">
        <v>2005</v>
      </c>
      <c r="FX55" s="1210"/>
      <c r="FY55" s="1209"/>
      <c r="FZ55" s="1219"/>
      <c r="GA55" s="1210"/>
    </row>
    <row r="56" spans="1:187" s="1053" customFormat="1" ht="28.5" customHeight="1" x14ac:dyDescent="0.25">
      <c r="A56" s="3296" t="s">
        <v>641</v>
      </c>
      <c r="B56" s="3297"/>
      <c r="C56" s="3302" t="s">
        <v>107</v>
      </c>
      <c r="D56" s="3303"/>
      <c r="E56" s="1109">
        <f>ROUND(101*(1-B77),2)</f>
        <v>101</v>
      </c>
      <c r="F56" s="1113"/>
      <c r="G56" s="3320" t="s">
        <v>636</v>
      </c>
      <c r="H56" s="3321"/>
      <c r="I56" s="3321"/>
      <c r="J56" s="3321"/>
      <c r="K56" s="3322"/>
      <c r="L56" s="1110"/>
      <c r="EY56" s="1054"/>
      <c r="EZ56" s="1054"/>
      <c r="FA56" s="1054"/>
      <c r="FB56" s="1055"/>
      <c r="FC56" s="1055"/>
      <c r="FD56" s="1055"/>
      <c r="FE56" s="1104">
        <v>42181</v>
      </c>
      <c r="FF56" s="1055">
        <v>1</v>
      </c>
      <c r="FG56" s="1055">
        <v>61.198599999999999</v>
      </c>
      <c r="FH56" s="1055"/>
      <c r="FI56" s="1055"/>
      <c r="FJ56" s="1055"/>
      <c r="FK56" s="1055"/>
      <c r="FL56" s="1055"/>
      <c r="FM56" s="1055"/>
      <c r="FN56" s="1055"/>
      <c r="FO56" s="1055"/>
      <c r="FP56" s="1055"/>
      <c r="FQ56" s="1055"/>
      <c r="FR56" s="1055"/>
      <c r="FS56" s="1117"/>
      <c r="FT56" s="1118"/>
      <c r="FU56" s="1119"/>
      <c r="FV56" s="1114">
        <f ca="1">((6.0857+13)*2+4.4286-(11.05*2))/79*$FU$54*79*1.2*100/(20.6667*((0.75*2)+(1.1013+0.3987)))</f>
        <v>3398.5360991353245</v>
      </c>
      <c r="FW56" s="1154" t="s">
        <v>2006</v>
      </c>
      <c r="FX56" s="1210"/>
      <c r="FY56" s="1209"/>
      <c r="FZ56" s="1210"/>
      <c r="GA56" s="1210"/>
    </row>
    <row r="57" spans="1:187" s="1053" customFormat="1" ht="28.5" customHeight="1" x14ac:dyDescent="0.25">
      <c r="A57" s="2311" t="s">
        <v>642</v>
      </c>
      <c r="B57" s="2312"/>
      <c r="C57" s="2312"/>
      <c r="D57" s="2312"/>
      <c r="E57" s="2313"/>
      <c r="F57" s="1113"/>
      <c r="G57" s="3353" t="s">
        <v>638</v>
      </c>
      <c r="H57" s="3354"/>
      <c r="I57" s="3355"/>
      <c r="J57" s="1107" t="s">
        <v>107</v>
      </c>
      <c r="K57" s="1084">
        <f>ROUND(3750*(1-H81),2)</f>
        <v>3750</v>
      </c>
      <c r="L57" s="1110"/>
      <c r="EY57" s="1054"/>
      <c r="EZ57" s="1054"/>
      <c r="FA57" s="1054"/>
      <c r="FB57" s="1055"/>
      <c r="FC57" s="1055"/>
      <c r="FD57" s="1055"/>
      <c r="FE57" s="1104">
        <v>42182</v>
      </c>
      <c r="FF57" s="1055">
        <v>1</v>
      </c>
      <c r="FG57" s="1055">
        <v>61.406599999999997</v>
      </c>
      <c r="FH57" s="1055"/>
      <c r="FI57" s="1055"/>
      <c r="FJ57" s="1055"/>
      <c r="FK57" s="1055"/>
      <c r="FL57" s="1055"/>
      <c r="FM57" s="1055"/>
      <c r="FN57" s="1055"/>
      <c r="FO57" s="1055"/>
      <c r="FP57" s="1055"/>
      <c r="FQ57" s="1055"/>
      <c r="FR57" s="1055"/>
      <c r="FS57" s="1117"/>
      <c r="FT57" s="1118"/>
      <c r="FU57" s="1119"/>
      <c r="FV57" s="1114">
        <f ca="1">((3157-2376)*2-746)/23.3143*$FU$54*1.2*100/(20.6667*((0.75*2)+(1.1013+0.3987)))</f>
        <v>5802.3751504638667</v>
      </c>
      <c r="FW57" s="1085" t="s">
        <v>1884</v>
      </c>
      <c r="FX57" s="1220"/>
      <c r="FY57" s="1209"/>
      <c r="FZ57" s="1210"/>
      <c r="GA57" s="1210"/>
    </row>
    <row r="58" spans="1:187" s="1053" customFormat="1" ht="28.5" customHeight="1" x14ac:dyDescent="0.25">
      <c r="A58" s="3298" t="s">
        <v>644</v>
      </c>
      <c r="B58" s="3299"/>
      <c r="C58" s="3300" t="s">
        <v>107</v>
      </c>
      <c r="D58" s="3301"/>
      <c r="E58" s="1078">
        <f>ROUND(13*(1-B78),2)</f>
        <v>13</v>
      </c>
      <c r="F58" s="1065"/>
      <c r="G58" s="3296" t="s">
        <v>640</v>
      </c>
      <c r="H58" s="3352"/>
      <c r="I58" s="3297"/>
      <c r="J58" s="1115" t="s">
        <v>107</v>
      </c>
      <c r="K58" s="1121">
        <f>ROUND(4150*(1-H81),2)</f>
        <v>4150</v>
      </c>
      <c r="L58" s="1110"/>
      <c r="EY58" s="1054"/>
      <c r="EZ58" s="1054"/>
      <c r="FA58" s="1054"/>
      <c r="FB58" s="1055"/>
      <c r="FC58" s="1055"/>
      <c r="FD58" s="1055"/>
      <c r="FE58" s="1104">
        <v>42185</v>
      </c>
      <c r="FF58" s="1055">
        <v>1</v>
      </c>
      <c r="FG58" s="1055">
        <v>61.520600000000002</v>
      </c>
      <c r="FH58" s="1055"/>
      <c r="FI58" s="1055"/>
      <c r="FJ58" s="1055"/>
      <c r="FK58" s="1055"/>
      <c r="FL58" s="1055"/>
      <c r="FM58" s="1055"/>
      <c r="FN58" s="1055"/>
      <c r="FO58" s="1055"/>
      <c r="FP58" s="1055"/>
      <c r="FQ58" s="1055"/>
      <c r="FR58" s="1055"/>
      <c r="FS58" s="1117"/>
      <c r="FT58" s="1118"/>
      <c r="FU58" s="1119"/>
      <c r="FV58" s="1114">
        <f ca="1">((17369/9)/80+8.3764-0.0000111111111)*$FU$54*1.2*100/(20.6667*((0.75*2)+(1.1013+0.3987)))</f>
        <v>5387.9230839950278</v>
      </c>
      <c r="FW58" s="1154" t="s">
        <v>2007</v>
      </c>
      <c r="FX58" s="1210"/>
      <c r="FY58" s="1209"/>
      <c r="FZ58" s="1210"/>
      <c r="GA58" s="1210"/>
    </row>
    <row r="59" spans="1:187" s="1053" customFormat="1" ht="28.5" customHeight="1" x14ac:dyDescent="0.3">
      <c r="A59" s="3296" t="s">
        <v>645</v>
      </c>
      <c r="B59" s="3297"/>
      <c r="C59" s="3302" t="s">
        <v>107</v>
      </c>
      <c r="D59" s="3303"/>
      <c r="E59" s="1121">
        <f>ROUND(29*(1-B78),2)</f>
        <v>29</v>
      </c>
      <c r="F59" s="1065"/>
      <c r="G59" s="3337" t="s">
        <v>1883</v>
      </c>
      <c r="H59" s="3337"/>
      <c r="I59" s="3337"/>
      <c r="J59" s="3337"/>
      <c r="K59" s="3337"/>
      <c r="L59" s="1110"/>
      <c r="EY59" s="1054"/>
      <c r="EZ59" s="1054"/>
      <c r="FA59" s="1054"/>
      <c r="FB59" s="1055"/>
      <c r="FC59" s="1055"/>
      <c r="FD59" s="1055"/>
      <c r="FE59" s="1104">
        <v>42186</v>
      </c>
      <c r="FF59" s="1055">
        <v>1</v>
      </c>
      <c r="FG59" s="1055">
        <v>62.380299999999998</v>
      </c>
      <c r="FH59" s="1055"/>
      <c r="FI59" s="1055"/>
      <c r="FJ59" s="1055"/>
      <c r="FK59" s="1055"/>
      <c r="FL59" s="1055"/>
      <c r="FM59" s="1055"/>
      <c r="FN59" s="1055"/>
      <c r="FO59" s="1055"/>
      <c r="FP59" s="1055"/>
      <c r="FQ59" s="1055"/>
      <c r="FR59" s="1055"/>
      <c r="FS59" s="1081"/>
      <c r="FT59" s="1122"/>
      <c r="FU59" s="1123"/>
      <c r="FV59" s="1124"/>
      <c r="FW59" s="1124"/>
      <c r="FX59" s="1221"/>
      <c r="FY59" s="1209"/>
      <c r="FZ59" s="1210"/>
      <c r="GA59" s="1210"/>
    </row>
    <row r="60" spans="1:187" s="1053" customFormat="1" ht="28.5" customHeight="1" x14ac:dyDescent="0.3">
      <c r="A60" s="2311" t="s">
        <v>648</v>
      </c>
      <c r="B60" s="2312"/>
      <c r="C60" s="2312"/>
      <c r="D60" s="2312"/>
      <c r="E60" s="2313"/>
      <c r="F60" s="1065"/>
      <c r="G60" s="3337"/>
      <c r="H60" s="3337"/>
      <c r="I60" s="3337"/>
      <c r="J60" s="3337"/>
      <c r="K60" s="3337"/>
      <c r="L60" s="1110"/>
      <c r="EY60" s="1054"/>
      <c r="EZ60" s="1054"/>
      <c r="FA60" s="1054"/>
      <c r="FB60" s="1055"/>
      <c r="FC60" s="1055"/>
      <c r="FD60" s="1055"/>
      <c r="FE60" s="1104">
        <v>42187</v>
      </c>
      <c r="FF60" s="1055">
        <v>1</v>
      </c>
      <c r="FG60" s="1055">
        <v>61.6556</v>
      </c>
      <c r="FH60" s="1055"/>
      <c r="FI60" s="1055"/>
      <c r="FJ60" s="1055"/>
      <c r="FK60" s="1055"/>
      <c r="FL60" s="1055"/>
      <c r="FM60" s="1055"/>
      <c r="FN60" s="1055"/>
      <c r="FO60" s="1055"/>
      <c r="FP60" s="1055"/>
      <c r="FQ60" s="1055"/>
      <c r="FR60" s="1055"/>
      <c r="FS60" s="1081"/>
      <c r="FT60" s="1122"/>
      <c r="FU60" s="1123"/>
      <c r="FV60" s="1124"/>
      <c r="FW60" s="1124"/>
      <c r="FX60" s="1221"/>
      <c r="FY60" s="1209"/>
      <c r="FZ60" s="1210"/>
      <c r="GA60" s="1210"/>
    </row>
    <row r="61" spans="1:187" s="1053" customFormat="1" ht="28.5" customHeight="1" x14ac:dyDescent="0.3">
      <c r="A61" s="3296" t="s">
        <v>2173</v>
      </c>
      <c r="B61" s="3297"/>
      <c r="C61" s="3302" t="s">
        <v>602</v>
      </c>
      <c r="D61" s="3303"/>
      <c r="E61" s="1125">
        <f>ROUND(2200*(1-B79),2)</f>
        <v>2200</v>
      </c>
      <c r="F61" s="1065"/>
      <c r="G61" s="3337"/>
      <c r="H61" s="3337"/>
      <c r="I61" s="3337"/>
      <c r="J61" s="3337"/>
      <c r="K61" s="3337"/>
      <c r="L61" s="1110"/>
      <c r="EY61" s="1054"/>
      <c r="EZ61" s="1054"/>
      <c r="FA61" s="1054"/>
      <c r="FB61" s="1055"/>
      <c r="FC61" s="1055"/>
      <c r="FD61" s="1055"/>
      <c r="FE61" s="1104">
        <v>42188</v>
      </c>
      <c r="FF61" s="1055">
        <v>1</v>
      </c>
      <c r="FG61" s="1055">
        <v>61.566099999999999</v>
      </c>
      <c r="FH61" s="1055"/>
      <c r="FI61" s="1055"/>
      <c r="FJ61" s="1055"/>
      <c r="FK61" s="1055"/>
      <c r="FL61" s="1055"/>
      <c r="FM61" s="1055"/>
      <c r="FN61" s="1055"/>
      <c r="FO61" s="1055"/>
      <c r="FP61" s="1055"/>
      <c r="FQ61" s="1055"/>
      <c r="FR61" s="1055"/>
      <c r="FS61" s="1081"/>
      <c r="FT61" s="1122"/>
      <c r="FU61" s="1123"/>
      <c r="FV61" s="1124"/>
      <c r="FW61" s="1124"/>
      <c r="FX61" s="1221"/>
      <c r="FY61" s="1209"/>
      <c r="FZ61" s="1210"/>
      <c r="GA61" s="1210"/>
    </row>
    <row r="62" spans="1:187" s="1053" customFormat="1" ht="28.5" customHeight="1" x14ac:dyDescent="0.3">
      <c r="A62" s="3348" t="s">
        <v>2010</v>
      </c>
      <c r="B62" s="3349"/>
      <c r="C62" s="3294" t="s">
        <v>602</v>
      </c>
      <c r="D62" s="3295"/>
      <c r="E62" s="1127">
        <f>ROUND(400*(1-B79),2)</f>
        <v>400</v>
      </c>
      <c r="F62" s="1065"/>
      <c r="G62" s="3337"/>
      <c r="H62" s="3337"/>
      <c r="I62" s="3337"/>
      <c r="J62" s="3337"/>
      <c r="K62" s="3337"/>
      <c r="L62" s="1110"/>
      <c r="EY62" s="1054"/>
      <c r="EZ62" s="1054"/>
      <c r="FA62" s="1054"/>
      <c r="FB62" s="1055"/>
      <c r="FC62" s="1055"/>
      <c r="FD62" s="1055"/>
      <c r="FE62" s="1104">
        <v>42189</v>
      </c>
      <c r="FF62" s="1055">
        <v>1</v>
      </c>
      <c r="FG62" s="1055">
        <v>61.749200000000002</v>
      </c>
      <c r="FH62" s="1055"/>
      <c r="FI62" s="1055"/>
      <c r="FJ62" s="1055"/>
      <c r="FK62" s="1055"/>
      <c r="FL62" s="1055"/>
      <c r="FM62" s="1055"/>
      <c r="FN62" s="1055"/>
      <c r="FO62" s="1055"/>
      <c r="FP62" s="1055"/>
      <c r="FQ62" s="1055"/>
      <c r="FR62" s="1055"/>
      <c r="FS62" s="1081"/>
      <c r="FT62" s="1122"/>
      <c r="FU62" s="1123"/>
      <c r="FV62" s="1124"/>
      <c r="FW62" s="1124"/>
      <c r="FX62" s="1221"/>
      <c r="FY62" s="1209"/>
      <c r="FZ62" s="1222"/>
      <c r="GA62" s="1222"/>
      <c r="GB62" s="1064"/>
      <c r="GC62" s="1064"/>
      <c r="GD62" s="1064"/>
      <c r="GE62" s="1064"/>
    </row>
    <row r="63" spans="1:187" s="1053" customFormat="1" ht="28.5" customHeight="1" x14ac:dyDescent="0.3">
      <c r="A63" s="1129" t="s">
        <v>649</v>
      </c>
      <c r="F63" s="1065"/>
      <c r="G63" s="3337"/>
      <c r="H63" s="3337"/>
      <c r="I63" s="3337"/>
      <c r="J63" s="3337"/>
      <c r="K63" s="3337"/>
      <c r="L63" s="1110"/>
      <c r="EY63" s="1054"/>
      <c r="EZ63" s="1054"/>
      <c r="FA63" s="1054"/>
      <c r="FB63" s="1055"/>
      <c r="FC63" s="1055"/>
      <c r="FD63" s="1055"/>
      <c r="FE63" s="1104">
        <v>42192</v>
      </c>
      <c r="FF63" s="1055">
        <v>1</v>
      </c>
      <c r="FG63" s="1055">
        <v>62.424599999999998</v>
      </c>
      <c r="FH63" s="1055"/>
      <c r="FI63" s="1055"/>
      <c r="FJ63" s="1055"/>
      <c r="FK63" s="1055"/>
      <c r="FL63" s="1055"/>
      <c r="FM63" s="1055"/>
      <c r="FN63" s="1055"/>
      <c r="FO63" s="1055"/>
      <c r="FP63" s="1055"/>
      <c r="FQ63" s="1055"/>
      <c r="FR63" s="1055"/>
      <c r="FS63" s="1081"/>
      <c r="FT63" s="1122"/>
      <c r="FU63" s="1123"/>
      <c r="FV63" s="1124"/>
      <c r="FW63" s="1124"/>
      <c r="FX63" s="1221"/>
      <c r="FY63" s="1209"/>
      <c r="FZ63" s="1222"/>
      <c r="GA63" s="1223"/>
      <c r="GB63" s="1126"/>
      <c r="GC63" s="1126"/>
      <c r="GD63" s="1064"/>
      <c r="GE63" s="1064"/>
    </row>
    <row r="64" spans="1:187" s="1053" customFormat="1" ht="28.5" customHeight="1" x14ac:dyDescent="0.25">
      <c r="A64" s="1129" t="s">
        <v>2014</v>
      </c>
      <c r="F64" s="1065"/>
      <c r="G64" s="3337"/>
      <c r="H64" s="3337"/>
      <c r="I64" s="3337"/>
      <c r="J64" s="3337"/>
      <c r="K64" s="3337"/>
      <c r="L64" s="1110"/>
      <c r="EY64" s="1054"/>
      <c r="EZ64" s="1054"/>
      <c r="FA64" s="1054"/>
      <c r="FB64" s="1055"/>
      <c r="FC64" s="1055"/>
      <c r="FD64" s="1055"/>
      <c r="FE64" s="1104">
        <v>42193</v>
      </c>
      <c r="FF64" s="1055">
        <v>1</v>
      </c>
      <c r="FG64" s="1055">
        <v>63.0441</v>
      </c>
      <c r="FH64" s="1055"/>
      <c r="FI64" s="1055"/>
      <c r="FJ64" s="1055"/>
      <c r="FK64" s="1055"/>
      <c r="FL64" s="1055"/>
      <c r="FM64" s="1055"/>
      <c r="FN64" s="1055"/>
      <c r="FO64" s="1055"/>
      <c r="FP64" s="1055"/>
      <c r="FQ64" s="1055"/>
      <c r="FR64" s="1055"/>
      <c r="FS64" s="1055"/>
      <c r="FT64" s="1055"/>
      <c r="FU64" s="1055"/>
      <c r="FV64" s="1055"/>
      <c r="FW64" s="1055"/>
      <c r="FX64" s="1209"/>
      <c r="FY64" s="1224"/>
      <c r="FZ64" s="1222"/>
      <c r="GA64" s="1223"/>
      <c r="GB64" s="1126"/>
      <c r="GC64" s="1126"/>
      <c r="GD64" s="1064"/>
      <c r="GE64" s="1064"/>
    </row>
    <row r="65" spans="1:187" s="1053" customFormat="1" ht="28.5" customHeight="1" x14ac:dyDescent="0.25">
      <c r="A65" s="1129" t="s">
        <v>2259</v>
      </c>
      <c r="F65" s="1065"/>
      <c r="G65" s="3337"/>
      <c r="H65" s="3337"/>
      <c r="I65" s="3337"/>
      <c r="J65" s="3337"/>
      <c r="K65" s="3337"/>
      <c r="L65" s="1110"/>
      <c r="EY65" s="1054"/>
      <c r="EZ65" s="1054"/>
      <c r="FA65" s="1054"/>
      <c r="FB65" s="1055"/>
      <c r="FC65" s="1055"/>
      <c r="FD65" s="1055"/>
      <c r="FE65" s="1104">
        <v>42194</v>
      </c>
      <c r="FF65" s="1055">
        <v>1</v>
      </c>
      <c r="FG65" s="1055">
        <v>63.0822</v>
      </c>
      <c r="FH65" s="1055"/>
      <c r="FI65" s="1055"/>
      <c r="FJ65" s="1055"/>
      <c r="FK65" s="1055"/>
      <c r="FL65" s="1055"/>
      <c r="FM65" s="1055"/>
      <c r="FN65" s="1055"/>
      <c r="FO65" s="1055"/>
      <c r="FP65" s="1055"/>
      <c r="FQ65" s="1055"/>
      <c r="FR65" s="1055"/>
      <c r="FS65" s="1055"/>
      <c r="FT65" s="1055"/>
      <c r="FU65" s="1055"/>
      <c r="FV65" s="1055"/>
      <c r="FW65" s="1055"/>
      <c r="FX65" s="1209"/>
      <c r="FY65" s="1224"/>
      <c r="FZ65" s="1222"/>
      <c r="GA65" s="1223"/>
      <c r="GB65" s="1126"/>
      <c r="GC65" s="1126"/>
      <c r="GD65" s="1064"/>
      <c r="GE65" s="1064"/>
    </row>
    <row r="66" spans="1:187" s="1053" customFormat="1" ht="30" x14ac:dyDescent="0.25">
      <c r="F66" s="1130"/>
      <c r="G66" s="1461"/>
      <c r="H66" s="1461"/>
      <c r="I66" s="1461"/>
      <c r="J66" s="1461"/>
      <c r="K66" s="1461"/>
      <c r="L66" s="1110"/>
      <c r="EY66" s="1054"/>
      <c r="EZ66" s="1054"/>
      <c r="FA66" s="1054"/>
      <c r="FB66" s="1055"/>
      <c r="FC66" s="1055"/>
      <c r="FD66" s="1055"/>
      <c r="FE66" s="1104">
        <v>42195</v>
      </c>
      <c r="FF66" s="1055">
        <v>1</v>
      </c>
      <c r="FG66" s="1055">
        <v>63.042999999999999</v>
      </c>
      <c r="FH66" s="1055"/>
      <c r="FI66" s="1055"/>
      <c r="FJ66" s="1055"/>
      <c r="FK66" s="1055"/>
      <c r="FL66" s="1055"/>
      <c r="FM66" s="1055"/>
      <c r="FN66" s="1055"/>
      <c r="FO66" s="1055"/>
      <c r="FP66" s="1055"/>
      <c r="FQ66" s="1055"/>
      <c r="FR66" s="1055"/>
      <c r="FS66" s="1055"/>
      <c r="FT66" s="1055"/>
      <c r="FU66" s="1055"/>
      <c r="FV66" s="1055"/>
      <c r="FW66" s="1055"/>
      <c r="FX66" s="1209"/>
      <c r="FY66" s="1224"/>
      <c r="FZ66" s="1222"/>
      <c r="GA66" s="1223"/>
      <c r="GB66" s="1126"/>
      <c r="GC66" s="1126"/>
      <c r="GD66" s="1064"/>
      <c r="GE66" s="1064"/>
    </row>
    <row r="67" spans="1:187" s="1053" customFormat="1" ht="28.5" customHeight="1" x14ac:dyDescent="0.25">
      <c r="A67" s="1236"/>
      <c r="G67" s="1461"/>
      <c r="H67" s="1461"/>
      <c r="I67" s="1461"/>
      <c r="J67" s="1461"/>
      <c r="K67" s="1461"/>
      <c r="L67" s="1110"/>
      <c r="EY67" s="1054"/>
      <c r="EZ67" s="1054"/>
      <c r="FA67" s="1054"/>
      <c r="FB67" s="1055"/>
      <c r="FC67" s="1055"/>
      <c r="FD67" s="1055"/>
      <c r="FE67" s="1104">
        <v>42196</v>
      </c>
      <c r="FF67" s="1055">
        <v>1</v>
      </c>
      <c r="FG67" s="1055">
        <v>62.947400000000002</v>
      </c>
      <c r="FH67" s="1055"/>
      <c r="FI67" s="1055"/>
      <c r="FJ67" s="1055"/>
      <c r="FK67" s="1055"/>
      <c r="FL67" s="1055"/>
      <c r="FM67" s="1055"/>
      <c r="FN67" s="1055"/>
      <c r="FO67" s="1055"/>
      <c r="FP67" s="1055"/>
      <c r="FQ67" s="1055"/>
      <c r="FR67" s="1055"/>
      <c r="FS67" s="1055"/>
      <c r="FT67" s="1055"/>
      <c r="FU67" s="1055"/>
      <c r="FV67" s="1055"/>
      <c r="FW67" s="1055"/>
      <c r="FX67" s="1209"/>
      <c r="FY67" s="1209"/>
      <c r="FZ67" s="1210"/>
      <c r="GA67" s="1210"/>
    </row>
    <row r="68" spans="1:187" s="1053" customFormat="1" ht="28.5" customHeight="1" x14ac:dyDescent="0.25">
      <c r="A68" s="1131"/>
      <c r="L68" s="1110"/>
      <c r="EY68" s="1054"/>
      <c r="EZ68" s="1054"/>
      <c r="FA68" s="1054"/>
      <c r="FB68" s="1055"/>
      <c r="FC68" s="1055"/>
      <c r="FD68" s="1055"/>
      <c r="FE68" s="1104">
        <v>42199</v>
      </c>
      <c r="FF68" s="1055">
        <v>1</v>
      </c>
      <c r="FG68" s="1055">
        <v>62.981900000000003</v>
      </c>
      <c r="FH68" s="1055"/>
      <c r="FI68" s="1055"/>
      <c r="FJ68" s="1055"/>
      <c r="FK68" s="1055"/>
      <c r="FL68" s="1055"/>
      <c r="FM68" s="1055"/>
      <c r="FN68" s="1055"/>
      <c r="FO68" s="1055"/>
      <c r="FP68" s="1055"/>
      <c r="FQ68" s="1055"/>
      <c r="FR68" s="1055"/>
      <c r="FS68" s="1055"/>
      <c r="FT68" s="1055"/>
      <c r="FU68" s="1055"/>
      <c r="FV68" s="1055"/>
      <c r="FW68" s="1055"/>
      <c r="FX68" s="1209"/>
      <c r="FY68" s="1209"/>
      <c r="FZ68" s="1210"/>
      <c r="GA68" s="1210"/>
    </row>
    <row r="69" spans="1:187" s="1053" customFormat="1" ht="28.5" customHeight="1" x14ac:dyDescent="0.25">
      <c r="A69" s="1132"/>
      <c r="L69" s="1110"/>
      <c r="EY69" s="1054"/>
      <c r="EZ69" s="1054"/>
      <c r="FA69" s="1054"/>
      <c r="FB69" s="1055"/>
      <c r="FC69" s="1055"/>
      <c r="FD69" s="1055"/>
      <c r="FE69" s="1104">
        <v>42200</v>
      </c>
      <c r="FF69" s="1055">
        <v>1</v>
      </c>
      <c r="FG69" s="1055">
        <v>62.623899999999999</v>
      </c>
      <c r="FH69" s="1055"/>
      <c r="FI69" s="1055"/>
      <c r="FJ69" s="1055"/>
      <c r="FK69" s="1055"/>
      <c r="FL69" s="1055"/>
      <c r="FM69" s="1055"/>
      <c r="FN69" s="1055"/>
      <c r="FO69" s="1055"/>
      <c r="FP69" s="1055"/>
      <c r="FQ69" s="1055"/>
      <c r="FR69" s="1055"/>
      <c r="FS69" s="1055"/>
      <c r="FT69" s="1055"/>
      <c r="FU69" s="1055"/>
      <c r="FV69" s="1055"/>
      <c r="FW69" s="1055"/>
      <c r="FX69" s="1209"/>
      <c r="FY69" s="1209"/>
      <c r="FZ69" s="1210"/>
      <c r="GA69" s="1210"/>
    </row>
    <row r="70" spans="1:187" s="1053" customFormat="1" ht="28.5" customHeight="1" x14ac:dyDescent="0.25">
      <c r="A70" s="1132"/>
      <c r="L70" s="1110"/>
      <c r="EY70" s="1054"/>
      <c r="EZ70" s="1054"/>
      <c r="FA70" s="1054"/>
      <c r="FB70" s="1055"/>
      <c r="FC70" s="1055"/>
      <c r="FD70" s="1055"/>
      <c r="FE70" s="1104">
        <v>42201</v>
      </c>
      <c r="FF70" s="1055">
        <v>1</v>
      </c>
      <c r="FG70" s="1055">
        <v>62.398600000000002</v>
      </c>
      <c r="FH70" s="1055"/>
      <c r="FI70" s="1055"/>
      <c r="FJ70" s="1055"/>
      <c r="FK70" s="1055"/>
      <c r="FL70" s="1055"/>
      <c r="FM70" s="1055"/>
      <c r="FN70" s="1055"/>
      <c r="FO70" s="1055"/>
      <c r="FP70" s="1055"/>
      <c r="FQ70" s="1055"/>
      <c r="FR70" s="1055"/>
      <c r="FS70" s="1055"/>
      <c r="FT70" s="1055"/>
      <c r="FU70" s="1055"/>
      <c r="FV70" s="1055"/>
      <c r="FW70" s="1055"/>
      <c r="FX70" s="1209"/>
      <c r="FY70" s="1209"/>
      <c r="FZ70" s="1210"/>
      <c r="GA70" s="1210"/>
    </row>
    <row r="71" spans="1:187" s="1053" customFormat="1" ht="27.75" customHeight="1" x14ac:dyDescent="0.25">
      <c r="K71" s="1054"/>
      <c r="L71" s="1128"/>
      <c r="EY71" s="1054"/>
      <c r="EZ71" s="1054"/>
      <c r="FA71" s="1054"/>
      <c r="FB71" s="1055"/>
      <c r="FC71" s="1055"/>
      <c r="FD71" s="1055"/>
      <c r="FE71" s="1104">
        <v>42202</v>
      </c>
      <c r="FF71" s="1055">
        <v>1</v>
      </c>
      <c r="FG71" s="1055">
        <v>62.184100000000001</v>
      </c>
      <c r="FH71" s="1055"/>
      <c r="FI71" s="1055"/>
      <c r="FJ71" s="1055"/>
      <c r="FK71" s="1055"/>
      <c r="FL71" s="1055"/>
      <c r="FM71" s="1055"/>
      <c r="FN71" s="1055"/>
      <c r="FO71" s="1055"/>
      <c r="FP71" s="1055"/>
      <c r="FQ71" s="1055"/>
      <c r="FR71" s="1055"/>
      <c r="FS71" s="1055"/>
      <c r="FT71" s="1055"/>
      <c r="FU71" s="1055"/>
      <c r="FV71" s="1055"/>
      <c r="FW71" s="1055"/>
      <c r="FX71" s="1209"/>
      <c r="FY71" s="1209"/>
      <c r="FZ71" s="1210"/>
      <c r="GA71" s="1210"/>
    </row>
    <row r="72" spans="1:187" s="1053" customFormat="1" ht="30.75" customHeight="1" x14ac:dyDescent="0.25">
      <c r="K72" s="1054"/>
      <c r="L72" s="1130"/>
      <c r="EY72" s="1054"/>
      <c r="EZ72" s="1054"/>
      <c r="FA72" s="1054"/>
      <c r="FB72" s="1055"/>
      <c r="FC72" s="1055"/>
      <c r="FD72" s="1055"/>
      <c r="FE72" s="1104">
        <v>42203</v>
      </c>
      <c r="FF72" s="1055">
        <v>1</v>
      </c>
      <c r="FG72" s="1055">
        <v>61.918300000000002</v>
      </c>
      <c r="FH72" s="1055"/>
      <c r="FI72" s="1055"/>
      <c r="FJ72" s="1055"/>
      <c r="FK72" s="1055"/>
      <c r="FL72" s="1055"/>
      <c r="FM72" s="1055"/>
      <c r="FN72" s="1055"/>
      <c r="FO72" s="1055"/>
      <c r="FP72" s="1055"/>
      <c r="FQ72" s="1055"/>
      <c r="FR72" s="1055"/>
      <c r="FS72" s="1055"/>
      <c r="FT72" s="1055"/>
      <c r="FU72" s="1055"/>
      <c r="FV72" s="1055"/>
      <c r="FW72" s="1055"/>
      <c r="FX72" s="1209"/>
      <c r="FY72" s="1209"/>
      <c r="FZ72" s="1210"/>
      <c r="GA72" s="1210"/>
    </row>
    <row r="73" spans="1:187" s="1053" customFormat="1" ht="27.75" x14ac:dyDescent="0.25">
      <c r="A73" s="3346" t="s">
        <v>66</v>
      </c>
      <c r="B73" s="3347"/>
      <c r="C73" s="1133"/>
      <c r="D73" s="1247"/>
      <c r="G73" s="1245" t="s">
        <v>66</v>
      </c>
      <c r="H73" s="1246"/>
      <c r="I73" s="1133"/>
      <c r="J73" s="1247"/>
      <c r="K73" s="1054"/>
      <c r="EY73" s="1054"/>
      <c r="EZ73" s="1054"/>
      <c r="FA73" s="1054"/>
      <c r="FB73" s="1055"/>
      <c r="FC73" s="1055"/>
      <c r="FD73" s="1055"/>
      <c r="FE73" s="1104">
        <v>42206</v>
      </c>
      <c r="FF73" s="1055">
        <v>1</v>
      </c>
      <c r="FG73" s="1055">
        <v>61.692900000000002</v>
      </c>
      <c r="FH73" s="1055"/>
      <c r="FI73" s="1055"/>
      <c r="FJ73" s="1055"/>
      <c r="FK73" s="1055"/>
      <c r="FL73" s="1055"/>
      <c r="FM73" s="1055"/>
      <c r="FN73" s="1055"/>
      <c r="FO73" s="1055"/>
      <c r="FP73" s="1055"/>
      <c r="FQ73" s="1055"/>
      <c r="FR73" s="1055"/>
      <c r="FS73" s="1055"/>
      <c r="FT73" s="1055"/>
      <c r="FU73" s="1055"/>
      <c r="FV73" s="1055"/>
      <c r="FW73" s="1055"/>
      <c r="FX73" s="1209"/>
      <c r="FY73" s="1209"/>
      <c r="FZ73" s="1210"/>
      <c r="GA73" s="1210"/>
    </row>
    <row r="74" spans="1:187" s="1053" customFormat="1" ht="27.75" x14ac:dyDescent="0.25">
      <c r="A74" s="1134" t="s">
        <v>651</v>
      </c>
      <c r="B74" s="1135">
        <v>0</v>
      </c>
      <c r="C74" s="1136"/>
      <c r="D74" s="1140"/>
      <c r="F74" s="1137"/>
      <c r="G74" s="1144" t="s">
        <v>1656</v>
      </c>
      <c r="H74" s="1135">
        <v>0</v>
      </c>
      <c r="I74" s="1133"/>
      <c r="J74" s="1145"/>
      <c r="K74" s="1054"/>
      <c r="EY74" s="1054"/>
      <c r="EZ74" s="1054"/>
      <c r="FA74" s="1054"/>
      <c r="FB74" s="1055"/>
      <c r="FC74" s="1055"/>
      <c r="FD74" s="1055"/>
      <c r="FE74" s="1104">
        <v>42207</v>
      </c>
      <c r="FF74" s="1055">
        <v>1</v>
      </c>
      <c r="FG74" s="1055">
        <v>61.7622</v>
      </c>
      <c r="FH74" s="1055"/>
      <c r="FI74" s="1055"/>
      <c r="FJ74" s="1055"/>
      <c r="FK74" s="1055"/>
      <c r="FL74" s="1055"/>
      <c r="FM74" s="1055"/>
      <c r="FN74" s="1055"/>
      <c r="FO74" s="1055"/>
      <c r="FP74" s="1055"/>
      <c r="FQ74" s="1055"/>
      <c r="FR74" s="1055"/>
      <c r="FS74" s="1055"/>
      <c r="FT74" s="1055"/>
      <c r="FU74" s="1055"/>
      <c r="FV74" s="1055"/>
      <c r="FW74" s="1055"/>
      <c r="FX74" s="1209"/>
      <c r="FY74" s="1209"/>
      <c r="FZ74" s="1210"/>
      <c r="GA74" s="1210"/>
    </row>
    <row r="75" spans="1:187" s="1053" customFormat="1" ht="27.75" x14ac:dyDescent="0.25">
      <c r="A75" s="1139" t="s">
        <v>652</v>
      </c>
      <c r="B75" s="1135">
        <v>0</v>
      </c>
      <c r="C75" s="1136"/>
      <c r="D75" s="1140"/>
      <c r="F75" s="1140"/>
      <c r="G75" s="1134" t="s">
        <v>657</v>
      </c>
      <c r="H75" s="1143">
        <v>0</v>
      </c>
      <c r="I75" s="1133"/>
      <c r="J75" s="1145"/>
      <c r="K75" s="1140"/>
      <c r="EY75" s="1054"/>
      <c r="EZ75" s="1054"/>
      <c r="FA75" s="1054"/>
      <c r="FB75" s="1055"/>
      <c r="FC75" s="1055"/>
      <c r="FD75" s="1055"/>
      <c r="FE75" s="1104">
        <v>42208</v>
      </c>
      <c r="FF75" s="1055">
        <v>1</v>
      </c>
      <c r="FG75" s="1055">
        <v>62.394799999999996</v>
      </c>
      <c r="FH75" s="1055"/>
      <c r="FI75" s="1055"/>
      <c r="FJ75" s="1055"/>
      <c r="FK75" s="1055"/>
      <c r="FL75" s="1055"/>
      <c r="FM75" s="1055"/>
      <c r="FN75" s="1055"/>
      <c r="FO75" s="1055"/>
      <c r="FP75" s="1055"/>
      <c r="FQ75" s="1055"/>
      <c r="FR75" s="1055"/>
      <c r="FS75" s="1055"/>
      <c r="FT75" s="1055"/>
      <c r="FU75" s="1055"/>
      <c r="FV75" s="1055"/>
      <c r="FW75" s="1055"/>
      <c r="FX75" s="1209"/>
      <c r="FY75" s="1209"/>
      <c r="FZ75" s="1210"/>
      <c r="GA75" s="1210"/>
    </row>
    <row r="76" spans="1:187" s="1053" customFormat="1" ht="55.5" x14ac:dyDescent="0.25">
      <c r="A76" s="1141" t="s">
        <v>654</v>
      </c>
      <c r="B76" s="1142">
        <v>0</v>
      </c>
      <c r="C76" s="1136"/>
      <c r="D76" s="1140"/>
      <c r="G76" s="1144" t="s">
        <v>658</v>
      </c>
      <c r="H76" s="1135">
        <v>0</v>
      </c>
      <c r="I76" s="1133"/>
      <c r="J76" s="1145"/>
      <c r="K76" s="1140"/>
      <c r="EY76" s="1054"/>
      <c r="EZ76" s="1054"/>
      <c r="FA76" s="1054"/>
      <c r="FB76" s="1055"/>
      <c r="FC76" s="1055"/>
      <c r="FD76" s="1055"/>
      <c r="FE76" s="1104">
        <v>42209</v>
      </c>
      <c r="FF76" s="1055">
        <v>1</v>
      </c>
      <c r="FG76" s="1055">
        <v>62.933</v>
      </c>
      <c r="FH76" s="1055"/>
      <c r="FI76" s="1055"/>
      <c r="FJ76" s="1055"/>
      <c r="FK76" s="1055"/>
      <c r="FL76" s="1055"/>
      <c r="FM76" s="1055"/>
      <c r="FN76" s="1055"/>
      <c r="FO76" s="1055"/>
      <c r="FP76" s="1055"/>
      <c r="FQ76" s="1055"/>
      <c r="FR76" s="1055"/>
      <c r="FS76" s="1055"/>
      <c r="FT76" s="1055"/>
      <c r="FU76" s="1055"/>
      <c r="FV76" s="1055"/>
      <c r="FW76" s="1055"/>
      <c r="FX76" s="1209"/>
      <c r="FY76" s="1209"/>
      <c r="FZ76" s="1210"/>
      <c r="GA76" s="1210"/>
    </row>
    <row r="77" spans="1:187" s="1053" customFormat="1" ht="27.75" x14ac:dyDescent="0.25">
      <c r="A77" s="1134" t="s">
        <v>622</v>
      </c>
      <c r="B77" s="1143">
        <v>0</v>
      </c>
      <c r="C77" s="1136"/>
      <c r="D77" s="1140"/>
      <c r="G77" s="1134" t="s">
        <v>616</v>
      </c>
      <c r="H77" s="1143">
        <v>0</v>
      </c>
      <c r="I77" s="1249"/>
      <c r="J77" s="1145"/>
      <c r="K77" s="1145"/>
      <c r="EY77" s="1054"/>
      <c r="EZ77" s="1054"/>
      <c r="FA77" s="1054"/>
      <c r="FB77" s="1055"/>
      <c r="FC77" s="1055"/>
      <c r="FD77" s="1055"/>
      <c r="FE77" s="1104">
        <v>42210</v>
      </c>
      <c r="FF77" s="1055">
        <v>1</v>
      </c>
      <c r="FG77" s="1055">
        <v>63.609000000000002</v>
      </c>
      <c r="FH77" s="1055"/>
      <c r="FI77" s="1055"/>
      <c r="FJ77" s="1055"/>
      <c r="FK77" s="1055"/>
      <c r="FL77" s="1055"/>
      <c r="FM77" s="1055"/>
      <c r="FN77" s="1055"/>
      <c r="FO77" s="1055"/>
      <c r="FP77" s="1055"/>
      <c r="FQ77" s="1055"/>
      <c r="FR77" s="1055"/>
      <c r="FS77" s="1055"/>
      <c r="FT77" s="1055"/>
      <c r="FU77" s="1055"/>
      <c r="FV77" s="1055"/>
      <c r="FW77" s="1055"/>
      <c r="FX77" s="1209"/>
      <c r="FY77" s="1209"/>
      <c r="FZ77" s="1210"/>
      <c r="GA77" s="1210"/>
    </row>
    <row r="78" spans="1:187" s="1053" customFormat="1" ht="27.75" x14ac:dyDescent="0.25">
      <c r="A78" s="1134" t="s">
        <v>642</v>
      </c>
      <c r="B78" s="1146">
        <v>0</v>
      </c>
      <c r="C78" s="1136"/>
      <c r="D78" s="1140"/>
      <c r="G78" s="1144" t="s">
        <v>660</v>
      </c>
      <c r="H78" s="1143">
        <v>0</v>
      </c>
      <c r="I78" s="1133"/>
      <c r="J78" s="1054"/>
      <c r="EY78" s="1054"/>
      <c r="EZ78" s="1054"/>
      <c r="FA78" s="1054"/>
      <c r="FB78" s="1055"/>
      <c r="FC78" s="1055"/>
      <c r="FD78" s="1055"/>
      <c r="FE78" s="1104">
        <v>42213</v>
      </c>
      <c r="FF78" s="1055">
        <v>1</v>
      </c>
      <c r="FG78" s="1055">
        <v>65.082999999999998</v>
      </c>
      <c r="FH78" s="1055"/>
      <c r="FI78" s="1055"/>
      <c r="FJ78" s="1055"/>
      <c r="FK78" s="1055"/>
      <c r="FL78" s="1055"/>
      <c r="FM78" s="1055"/>
      <c r="FN78" s="1055"/>
      <c r="FO78" s="1055"/>
      <c r="FP78" s="1055"/>
      <c r="FQ78" s="1055"/>
      <c r="FR78" s="1055"/>
      <c r="FS78" s="1055"/>
      <c r="FT78" s="1055"/>
      <c r="FU78" s="1055"/>
      <c r="FV78" s="1055"/>
      <c r="FW78" s="1055"/>
      <c r="FX78" s="1209"/>
      <c r="FY78" s="1209"/>
      <c r="FZ78" s="1210"/>
      <c r="GA78" s="1210"/>
    </row>
    <row r="79" spans="1:187" s="1053" customFormat="1" ht="27.75" x14ac:dyDescent="0.25">
      <c r="A79" s="1134" t="s">
        <v>648</v>
      </c>
      <c r="B79" s="1138">
        <v>0</v>
      </c>
      <c r="C79" s="1140"/>
      <c r="D79" s="1140"/>
      <c r="G79" s="1144" t="s">
        <v>659</v>
      </c>
      <c r="H79" s="1135">
        <v>0</v>
      </c>
      <c r="I79" s="1249"/>
      <c r="J79" s="1054"/>
      <c r="EY79" s="1054"/>
      <c r="EZ79" s="1054"/>
      <c r="FA79" s="1054"/>
      <c r="FB79" s="1055"/>
      <c r="FC79" s="1055"/>
      <c r="FD79" s="1055"/>
      <c r="FE79" s="1104">
        <v>42214</v>
      </c>
      <c r="FF79" s="1055">
        <v>1</v>
      </c>
      <c r="FG79" s="1055">
        <v>66.624799999999993</v>
      </c>
      <c r="FH79" s="1055"/>
      <c r="FI79" s="1055"/>
      <c r="FJ79" s="1055"/>
      <c r="FK79" s="1055"/>
      <c r="FL79" s="1055"/>
      <c r="FM79" s="1055"/>
      <c r="FN79" s="1055"/>
      <c r="FO79" s="1055"/>
      <c r="FP79" s="1055"/>
      <c r="FQ79" s="1055"/>
      <c r="FR79" s="1055"/>
      <c r="FS79" s="1055"/>
      <c r="FT79" s="1055"/>
      <c r="FU79" s="1055"/>
      <c r="FV79" s="1055"/>
      <c r="FW79" s="1055"/>
      <c r="FX79" s="1209"/>
      <c r="FY79" s="1209"/>
      <c r="FZ79" s="1210"/>
      <c r="GA79" s="1210"/>
    </row>
    <row r="80" spans="1:187" s="1053" customFormat="1" ht="27.75" x14ac:dyDescent="0.25">
      <c r="C80" s="1140"/>
      <c r="D80" s="1140"/>
      <c r="G80" s="1144" t="s">
        <v>661</v>
      </c>
      <c r="H80" s="1135">
        <v>0</v>
      </c>
      <c r="I80" s="1249"/>
      <c r="J80" s="1054"/>
      <c r="EY80" s="1054"/>
      <c r="EZ80" s="1054"/>
      <c r="FA80" s="1054"/>
      <c r="FB80" s="1055"/>
      <c r="FC80" s="1055"/>
      <c r="FD80" s="1055"/>
      <c r="FE80" s="1104">
        <v>42215</v>
      </c>
      <c r="FF80" s="1055">
        <v>1</v>
      </c>
      <c r="FG80" s="1055">
        <v>65.988200000000006</v>
      </c>
      <c r="FH80" s="1055"/>
      <c r="FI80" s="1055"/>
      <c r="FJ80" s="1055"/>
      <c r="FK80" s="1055"/>
      <c r="FL80" s="1055"/>
      <c r="FM80" s="1055"/>
      <c r="FN80" s="1055"/>
      <c r="FO80" s="1055"/>
      <c r="FP80" s="1055"/>
      <c r="FQ80" s="1055"/>
      <c r="FR80" s="1055"/>
      <c r="FS80" s="1055"/>
      <c r="FT80" s="1055"/>
      <c r="FU80" s="1055"/>
      <c r="FV80" s="1055"/>
      <c r="FW80" s="1055"/>
      <c r="FX80" s="1209"/>
      <c r="FY80" s="1209"/>
      <c r="FZ80" s="1210"/>
      <c r="GA80" s="1210"/>
    </row>
    <row r="81" spans="7:183" s="1053" customFormat="1" ht="27.75" x14ac:dyDescent="0.25">
      <c r="G81" s="1144" t="s">
        <v>636</v>
      </c>
      <c r="H81" s="1250">
        <v>0</v>
      </c>
      <c r="I81" s="1249"/>
      <c r="J81" s="1054"/>
      <c r="EY81" s="1054"/>
      <c r="EZ81" s="1054"/>
      <c r="FA81" s="1054"/>
      <c r="FB81" s="1055"/>
      <c r="FC81" s="1055"/>
      <c r="FD81" s="1055"/>
      <c r="FE81" s="1104">
        <v>42216</v>
      </c>
      <c r="FF81" s="1055">
        <v>1</v>
      </c>
      <c r="FG81" s="1055">
        <v>64.647800000000004</v>
      </c>
      <c r="FH81" s="1055"/>
      <c r="FI81" s="1055"/>
      <c r="FJ81" s="1055"/>
      <c r="FK81" s="1055"/>
      <c r="FL81" s="1055"/>
      <c r="FM81" s="1055"/>
      <c r="FN81" s="1055"/>
      <c r="FO81" s="1055"/>
      <c r="FP81" s="1055"/>
      <c r="FQ81" s="1055"/>
      <c r="FR81" s="1055"/>
      <c r="FS81" s="1055"/>
      <c r="FT81" s="1055"/>
      <c r="FU81" s="1055"/>
      <c r="FV81" s="1055"/>
      <c r="FW81" s="1055"/>
      <c r="FX81" s="1209"/>
      <c r="FY81" s="1209"/>
      <c r="FZ81" s="1210"/>
      <c r="GA81" s="1210"/>
    </row>
    <row r="82" spans="7:183" s="1053" customFormat="1" ht="27.75" x14ac:dyDescent="0.25">
      <c r="G82" s="1144" t="s">
        <v>3196</v>
      </c>
      <c r="H82" s="1138">
        <v>0</v>
      </c>
      <c r="I82" s="1248"/>
      <c r="J82" s="1054"/>
      <c r="EY82" s="1054"/>
      <c r="EZ82" s="1054"/>
      <c r="FA82" s="1054"/>
      <c r="FB82" s="1225"/>
      <c r="FC82" s="1225"/>
      <c r="FD82" s="1225"/>
      <c r="FE82" s="1226">
        <v>42217</v>
      </c>
      <c r="FF82" s="1225">
        <v>1</v>
      </c>
      <c r="FG82" s="1225">
        <v>66.000200000000007</v>
      </c>
      <c r="FH82" s="1225"/>
      <c r="FI82" s="1225"/>
      <c r="FJ82" s="1225"/>
      <c r="FK82" s="1225"/>
      <c r="FL82" s="1225"/>
      <c r="FM82" s="1225"/>
      <c r="FN82" s="1225"/>
      <c r="FO82" s="1225"/>
      <c r="FP82" s="1225"/>
      <c r="FQ82" s="1225"/>
      <c r="FR82" s="1225"/>
      <c r="FS82" s="1225"/>
      <c r="FT82" s="1225"/>
      <c r="FU82" s="1225"/>
      <c r="FV82" s="1225"/>
      <c r="FW82" s="1225"/>
      <c r="FX82" s="1227"/>
      <c r="FY82" s="1227"/>
    </row>
    <row r="83" spans="7:183" s="1053" customFormat="1" ht="27.75" x14ac:dyDescent="0.25">
      <c r="G83" s="1054"/>
      <c r="H83" s="1054"/>
      <c r="I83" s="1248"/>
      <c r="J83" s="1054"/>
      <c r="EY83" s="1054"/>
      <c r="EZ83" s="1054"/>
      <c r="FA83" s="1054"/>
      <c r="FB83" s="1225"/>
      <c r="FC83" s="1225"/>
      <c r="FD83" s="1225"/>
      <c r="FE83" s="1226">
        <v>42220</v>
      </c>
      <c r="FF83" s="1225">
        <v>1</v>
      </c>
      <c r="FG83" s="1225">
        <v>68.576999999999998</v>
      </c>
      <c r="FH83" s="1225"/>
      <c r="FI83" s="1225"/>
      <c r="FJ83" s="1225"/>
      <c r="FK83" s="1225"/>
      <c r="FL83" s="1225"/>
      <c r="FM83" s="1225"/>
      <c r="FN83" s="1225"/>
      <c r="FO83" s="1225"/>
      <c r="FP83" s="1225"/>
      <c r="FQ83" s="1225"/>
      <c r="FR83" s="1225"/>
      <c r="FS83" s="1225"/>
      <c r="FT83" s="1225"/>
      <c r="FU83" s="1225"/>
      <c r="FV83" s="1225"/>
      <c r="FW83" s="1225"/>
      <c r="FX83" s="1227"/>
      <c r="FY83" s="1227"/>
    </row>
    <row r="84" spans="7:183" s="1053" customFormat="1" ht="15" customHeight="1" x14ac:dyDescent="0.25">
      <c r="EY84" s="1054"/>
      <c r="EZ84" s="1054"/>
      <c r="FA84" s="1054"/>
      <c r="FB84" s="1225"/>
      <c r="FC84" s="1225"/>
      <c r="FD84" s="1225"/>
      <c r="FE84" s="1226">
        <v>42221</v>
      </c>
      <c r="FF84" s="1225">
        <v>1</v>
      </c>
      <c r="FG84" s="1225">
        <v>68.996099999999998</v>
      </c>
      <c r="FH84" s="1225"/>
      <c r="FI84" s="1225"/>
      <c r="FJ84" s="1225"/>
      <c r="FK84" s="1225"/>
      <c r="FL84" s="1225"/>
      <c r="FM84" s="1225"/>
      <c r="FN84" s="1225"/>
      <c r="FO84" s="1225"/>
      <c r="FP84" s="1225"/>
      <c r="FQ84" s="1225"/>
      <c r="FR84" s="1225"/>
      <c r="FS84" s="1225"/>
      <c r="FT84" s="1225"/>
      <c r="FU84" s="1225"/>
      <c r="FV84" s="1225"/>
      <c r="FW84" s="1225"/>
      <c r="FX84" s="1227"/>
      <c r="FY84" s="1227"/>
    </row>
    <row r="85" spans="7:183" s="1053" customFormat="1" ht="15" customHeight="1" x14ac:dyDescent="0.25">
      <c r="EY85" s="1054"/>
      <c r="EZ85" s="1054"/>
      <c r="FA85" s="1054"/>
      <c r="FB85" s="1225"/>
      <c r="FC85" s="1225"/>
      <c r="FD85" s="1225"/>
      <c r="FE85" s="1226">
        <v>42222</v>
      </c>
      <c r="FF85" s="1225">
        <v>1</v>
      </c>
      <c r="FG85" s="1225">
        <v>68.143500000000003</v>
      </c>
      <c r="FH85" s="1225"/>
      <c r="FI85" s="1225"/>
      <c r="FJ85" s="1225"/>
      <c r="FK85" s="1225"/>
      <c r="FL85" s="1225"/>
      <c r="FM85" s="1225"/>
      <c r="FN85" s="1225"/>
      <c r="FO85" s="1225"/>
      <c r="FP85" s="1225"/>
      <c r="FQ85" s="1225"/>
      <c r="FR85" s="1225"/>
      <c r="FS85" s="1225"/>
      <c r="FT85" s="1225"/>
      <c r="FU85" s="1225"/>
      <c r="FV85" s="1225"/>
      <c r="FW85" s="1225"/>
      <c r="FX85" s="1227"/>
      <c r="FY85" s="1227"/>
    </row>
    <row r="86" spans="7:183" s="1053" customFormat="1" ht="15" customHeight="1" x14ac:dyDescent="0.25">
      <c r="EY86" s="1054"/>
      <c r="EZ86" s="1054"/>
      <c r="FA86" s="1054"/>
      <c r="FB86" s="1225"/>
      <c r="FC86" s="1225"/>
      <c r="FD86" s="1225"/>
      <c r="FE86" s="1226">
        <v>42223</v>
      </c>
      <c r="FF86" s="1225">
        <v>1</v>
      </c>
      <c r="FG86" s="1225">
        <v>69.631399999999999</v>
      </c>
      <c r="FH86" s="1225"/>
      <c r="FI86" s="1225"/>
      <c r="FJ86" s="1225"/>
      <c r="FK86" s="1225"/>
      <c r="FL86" s="1225"/>
      <c r="FM86" s="1225"/>
      <c r="FN86" s="1225"/>
      <c r="FO86" s="1225"/>
      <c r="FP86" s="1225"/>
      <c r="FQ86" s="1225"/>
      <c r="FR86" s="1225"/>
      <c r="FS86" s="1225"/>
      <c r="FT86" s="1225"/>
      <c r="FU86" s="1225"/>
      <c r="FV86" s="1225"/>
      <c r="FW86" s="1225"/>
      <c r="FX86" s="1227"/>
      <c r="FY86" s="1227"/>
    </row>
    <row r="87" spans="7:183" s="1053" customFormat="1" ht="15" customHeight="1" x14ac:dyDescent="0.25">
      <c r="EY87" s="1054"/>
      <c r="EZ87" s="1054"/>
      <c r="FA87" s="1054"/>
      <c r="FB87" s="1225"/>
      <c r="FC87" s="1225"/>
      <c r="FD87" s="1225"/>
      <c r="FE87" s="1226">
        <v>42224</v>
      </c>
      <c r="FF87" s="1225">
        <v>1</v>
      </c>
      <c r="FG87" s="1225">
        <v>69.808899999999994</v>
      </c>
      <c r="FH87" s="1225"/>
      <c r="FI87" s="1225"/>
      <c r="FJ87" s="1225"/>
      <c r="FK87" s="1225"/>
      <c r="FL87" s="1225"/>
      <c r="FM87" s="1225"/>
      <c r="FN87" s="1225"/>
      <c r="FO87" s="1225"/>
      <c r="FP87" s="1225"/>
      <c r="FQ87" s="1225"/>
      <c r="FR87" s="1225"/>
      <c r="FS87" s="1225"/>
      <c r="FT87" s="1225"/>
      <c r="FU87" s="1225"/>
      <c r="FV87" s="1225"/>
      <c r="FW87" s="1225"/>
      <c r="FX87" s="1227"/>
      <c r="FY87" s="1227"/>
    </row>
    <row r="88" spans="7:183" s="1053" customFormat="1" ht="15" customHeight="1" x14ac:dyDescent="0.25">
      <c r="EY88" s="1054"/>
      <c r="EZ88" s="1054"/>
      <c r="FA88" s="1054"/>
      <c r="FB88" s="1225"/>
      <c r="FC88" s="1225"/>
      <c r="FD88" s="1225"/>
      <c r="FE88" s="1226">
        <v>42227</v>
      </c>
      <c r="FF88" s="1225">
        <v>1</v>
      </c>
      <c r="FG88" s="1225">
        <v>70.754000000000005</v>
      </c>
      <c r="FH88" s="1225"/>
      <c r="FI88" s="1225"/>
      <c r="FJ88" s="1225"/>
      <c r="FK88" s="1225"/>
      <c r="FL88" s="1225"/>
      <c r="FM88" s="1225"/>
      <c r="FN88" s="1225"/>
      <c r="FO88" s="1225"/>
      <c r="FP88" s="1225"/>
      <c r="FQ88" s="1225"/>
      <c r="FR88" s="1225"/>
      <c r="FS88" s="1225"/>
      <c r="FT88" s="1225"/>
      <c r="FU88" s="1225"/>
      <c r="FV88" s="1225"/>
      <c r="FW88" s="1225"/>
      <c r="FX88" s="1227"/>
      <c r="FY88" s="1227"/>
    </row>
    <row r="89" spans="7:183" s="1053" customFormat="1" ht="15" customHeight="1" x14ac:dyDescent="0.25">
      <c r="EY89" s="1054"/>
      <c r="EZ89" s="1054"/>
      <c r="FA89" s="1054"/>
      <c r="FB89" s="1225"/>
      <c r="FC89" s="1225"/>
      <c r="FD89" s="1225"/>
      <c r="FE89" s="1226">
        <v>42228</v>
      </c>
      <c r="FF89" s="1225">
        <v>1</v>
      </c>
      <c r="FG89" s="1225">
        <v>69.676199999999994</v>
      </c>
      <c r="FH89" s="1225"/>
      <c r="FI89" s="1225"/>
      <c r="FJ89" s="1225"/>
      <c r="FK89" s="1225"/>
      <c r="FL89" s="1225"/>
      <c r="FM89" s="1225"/>
      <c r="FN89" s="1225"/>
      <c r="FO89" s="1225"/>
      <c r="FP89" s="1225"/>
      <c r="FQ89" s="1225"/>
      <c r="FR89" s="1225"/>
      <c r="FS89" s="1225"/>
      <c r="FT89" s="1225"/>
      <c r="FU89" s="1225"/>
      <c r="FV89" s="1225"/>
      <c r="FW89" s="1225"/>
      <c r="FX89" s="1227"/>
      <c r="FY89" s="1227"/>
    </row>
    <row r="90" spans="7:183" s="1053" customFormat="1" ht="15" customHeight="1" x14ac:dyDescent="0.25">
      <c r="EY90" s="1054"/>
      <c r="EZ90" s="1054"/>
      <c r="FA90" s="1054"/>
      <c r="FB90" s="1225"/>
      <c r="FC90" s="1225"/>
      <c r="FD90" s="1225"/>
      <c r="FE90" s="1226">
        <v>42229</v>
      </c>
      <c r="FF90" s="1225">
        <v>1</v>
      </c>
      <c r="FG90" s="1225">
        <v>72.207800000000006</v>
      </c>
      <c r="FH90" s="1225"/>
      <c r="FI90" s="1225"/>
      <c r="FJ90" s="1225"/>
      <c r="FK90" s="1225"/>
      <c r="FL90" s="1225"/>
      <c r="FM90" s="1225"/>
      <c r="FN90" s="1225"/>
      <c r="FO90" s="1225"/>
      <c r="FP90" s="1225"/>
      <c r="FQ90" s="1225"/>
      <c r="FR90" s="1225"/>
      <c r="FS90" s="1225"/>
      <c r="FT90" s="1225"/>
      <c r="FU90" s="1225"/>
      <c r="FV90" s="1225"/>
      <c r="FW90" s="1225"/>
      <c r="FX90" s="1227"/>
      <c r="FY90" s="1227"/>
    </row>
    <row r="91" spans="7:183" s="1053" customFormat="1" ht="15" customHeight="1" x14ac:dyDescent="0.25">
      <c r="EY91" s="1054"/>
      <c r="EZ91" s="1054"/>
      <c r="FA91" s="1054"/>
      <c r="FB91" s="1225"/>
      <c r="FC91" s="1225"/>
      <c r="FD91" s="1225"/>
      <c r="FE91" s="1226">
        <v>42230</v>
      </c>
      <c r="FF91" s="1225">
        <v>1</v>
      </c>
      <c r="FG91" s="1225">
        <v>71.147499999999994</v>
      </c>
      <c r="FH91" s="1225"/>
      <c r="FI91" s="1225"/>
      <c r="FJ91" s="1225"/>
      <c r="FK91" s="1225"/>
      <c r="FL91" s="1225"/>
      <c r="FM91" s="1225"/>
      <c r="FN91" s="1225"/>
      <c r="FO91" s="1225"/>
      <c r="FP91" s="1225"/>
      <c r="FQ91" s="1225"/>
      <c r="FR91" s="1225"/>
      <c r="FS91" s="1225"/>
      <c r="FT91" s="1225"/>
      <c r="FU91" s="1225"/>
      <c r="FV91" s="1225"/>
      <c r="FW91" s="1225"/>
      <c r="FX91" s="1227"/>
      <c r="FY91" s="1227"/>
    </row>
    <row r="92" spans="7:183" s="1053" customFormat="1" ht="15" customHeight="1" x14ac:dyDescent="0.25">
      <c r="EY92" s="1054"/>
      <c r="EZ92" s="1054"/>
      <c r="FA92" s="1054"/>
      <c r="FB92" s="1225"/>
      <c r="FC92" s="1225"/>
      <c r="FD92" s="1225"/>
      <c r="FE92" s="1226">
        <v>42231</v>
      </c>
      <c r="FF92" s="1225">
        <v>1</v>
      </c>
      <c r="FG92" s="1225">
        <v>72.364999999999995</v>
      </c>
      <c r="FH92" s="1225"/>
      <c r="FI92" s="1225"/>
      <c r="FJ92" s="1225"/>
      <c r="FK92" s="1225"/>
      <c r="FL92" s="1225"/>
      <c r="FM92" s="1225"/>
      <c r="FN92" s="1225"/>
      <c r="FO92" s="1225"/>
      <c r="FP92" s="1225"/>
      <c r="FQ92" s="1225"/>
      <c r="FR92" s="1225"/>
      <c r="FS92" s="1225"/>
      <c r="FT92" s="1225"/>
      <c r="FU92" s="1225"/>
      <c r="FV92" s="1225"/>
      <c r="FW92" s="1225"/>
      <c r="FX92" s="1227"/>
      <c r="FY92" s="1227"/>
    </row>
    <row r="93" spans="7:183" s="1053" customFormat="1" ht="15" customHeight="1" x14ac:dyDescent="0.25">
      <c r="EY93" s="1054"/>
      <c r="EZ93" s="1054"/>
      <c r="FA93" s="1054"/>
      <c r="FB93" s="1225"/>
      <c r="FC93" s="1225"/>
      <c r="FD93" s="1225"/>
      <c r="FE93" s="1226">
        <v>42234</v>
      </c>
      <c r="FF93" s="1225">
        <v>1</v>
      </c>
      <c r="FG93" s="1225">
        <v>72.571200000000005</v>
      </c>
      <c r="FH93" s="1225"/>
      <c r="FI93" s="1225"/>
      <c r="FJ93" s="1225"/>
      <c r="FK93" s="1225"/>
      <c r="FL93" s="1225"/>
      <c r="FM93" s="1225"/>
      <c r="FN93" s="1225"/>
      <c r="FO93" s="1225"/>
      <c r="FP93" s="1225"/>
      <c r="FQ93" s="1225"/>
      <c r="FR93" s="1225"/>
      <c r="FS93" s="1225"/>
      <c r="FT93" s="1225"/>
      <c r="FU93" s="1225"/>
      <c r="FV93" s="1225"/>
      <c r="FW93" s="1225"/>
      <c r="FX93" s="1227"/>
      <c r="FY93" s="1227"/>
    </row>
    <row r="94" spans="7:183" s="1053" customFormat="1" ht="15" customHeight="1" x14ac:dyDescent="0.25">
      <c r="EY94" s="1054"/>
      <c r="EZ94" s="1054"/>
      <c r="FA94" s="1054"/>
      <c r="FB94" s="1225"/>
      <c r="FC94" s="1225"/>
      <c r="FD94" s="1225"/>
      <c r="FE94" s="1226">
        <v>42235</v>
      </c>
      <c r="FF94" s="1225">
        <v>1</v>
      </c>
      <c r="FG94" s="1225">
        <v>72.918700000000001</v>
      </c>
      <c r="FH94" s="1225"/>
      <c r="FI94" s="1225"/>
      <c r="FJ94" s="1225"/>
      <c r="FK94" s="1225"/>
      <c r="FL94" s="1225"/>
      <c r="FM94" s="1225"/>
      <c r="FN94" s="1225"/>
      <c r="FO94" s="1225"/>
      <c r="FP94" s="1225"/>
      <c r="FQ94" s="1225"/>
      <c r="FR94" s="1225"/>
      <c r="FS94" s="1225"/>
      <c r="FT94" s="1225"/>
      <c r="FU94" s="1225"/>
      <c r="FV94" s="1225"/>
      <c r="FW94" s="1225"/>
      <c r="FX94" s="1227"/>
      <c r="FY94" s="1227"/>
    </row>
    <row r="95" spans="7:183" s="1053" customFormat="1" ht="15" customHeight="1" x14ac:dyDescent="0.25">
      <c r="EY95" s="1054"/>
      <c r="EZ95" s="1054"/>
      <c r="FA95" s="1054"/>
      <c r="FB95" s="1225"/>
      <c r="FC95" s="1225"/>
      <c r="FD95" s="1225"/>
      <c r="FE95" s="1226">
        <v>42236</v>
      </c>
      <c r="FF95" s="1225">
        <v>1</v>
      </c>
      <c r="FG95" s="1225">
        <v>72.708500000000001</v>
      </c>
      <c r="FH95" s="1225"/>
      <c r="FI95" s="1225"/>
      <c r="FJ95" s="1225"/>
      <c r="FK95" s="1225"/>
      <c r="FL95" s="1225"/>
      <c r="FM95" s="1225"/>
      <c r="FN95" s="1225"/>
      <c r="FO95" s="1225"/>
      <c r="FP95" s="1225"/>
      <c r="FQ95" s="1225"/>
      <c r="FR95" s="1225"/>
      <c r="FS95" s="1225"/>
      <c r="FT95" s="1225"/>
      <c r="FU95" s="1225"/>
      <c r="FV95" s="1225"/>
      <c r="FW95" s="1225"/>
      <c r="FX95" s="1227"/>
      <c r="FY95" s="1227"/>
    </row>
    <row r="96" spans="7:183" s="1053" customFormat="1" ht="15" customHeight="1" x14ac:dyDescent="0.25">
      <c r="EY96" s="1054"/>
      <c r="EZ96" s="1054"/>
      <c r="FA96" s="1054"/>
      <c r="FB96" s="1225"/>
      <c r="FC96" s="1225"/>
      <c r="FD96" s="1225"/>
      <c r="FE96" s="1226">
        <v>42237</v>
      </c>
      <c r="FF96" s="1225">
        <v>1</v>
      </c>
      <c r="FG96" s="1225">
        <v>74.473799999999997</v>
      </c>
      <c r="FH96" s="1225"/>
      <c r="FI96" s="1225"/>
      <c r="FJ96" s="1225"/>
      <c r="FK96" s="1225"/>
      <c r="FL96" s="1225"/>
      <c r="FM96" s="1225"/>
      <c r="FN96" s="1225"/>
      <c r="FO96" s="1225"/>
      <c r="FP96" s="1225"/>
      <c r="FQ96" s="1225"/>
      <c r="FR96" s="1225"/>
      <c r="FS96" s="1225"/>
      <c r="FT96" s="1225"/>
      <c r="FU96" s="1225"/>
      <c r="FV96" s="1225"/>
      <c r="FW96" s="1225"/>
      <c r="FX96" s="1227"/>
      <c r="FY96" s="1227"/>
    </row>
    <row r="97" spans="155:181" s="1053" customFormat="1" ht="15" customHeight="1" x14ac:dyDescent="0.25">
      <c r="EY97" s="1054"/>
      <c r="EZ97" s="1054"/>
      <c r="FA97" s="1054"/>
      <c r="FB97" s="1225"/>
      <c r="FC97" s="1225"/>
      <c r="FD97" s="1225"/>
      <c r="FE97" s="1226">
        <v>42238</v>
      </c>
      <c r="FF97" s="1225">
        <v>1</v>
      </c>
      <c r="FG97" s="1225">
        <v>76.670900000000003</v>
      </c>
      <c r="FH97" s="1225"/>
      <c r="FI97" s="1225"/>
      <c r="FJ97" s="1225"/>
      <c r="FK97" s="1225"/>
      <c r="FL97" s="1225"/>
      <c r="FM97" s="1225"/>
      <c r="FN97" s="1225"/>
      <c r="FO97" s="1225"/>
      <c r="FP97" s="1225"/>
      <c r="FQ97" s="1225"/>
      <c r="FR97" s="1225"/>
      <c r="FS97" s="1225"/>
      <c r="FT97" s="1225"/>
      <c r="FU97" s="1225"/>
      <c r="FV97" s="1225"/>
      <c r="FW97" s="1225"/>
      <c r="FX97" s="1227"/>
      <c r="FY97" s="1227"/>
    </row>
    <row r="98" spans="155:181" s="1053" customFormat="1" ht="15" customHeight="1" x14ac:dyDescent="0.25">
      <c r="EY98" s="1054"/>
      <c r="EZ98" s="1054"/>
      <c r="FA98" s="1054"/>
      <c r="FB98" s="1225"/>
      <c r="FC98" s="1225"/>
      <c r="FD98" s="1225"/>
      <c r="FE98" s="1226">
        <v>42241</v>
      </c>
      <c r="FF98" s="1225">
        <v>1</v>
      </c>
      <c r="FG98" s="1225">
        <v>81.153300000000002</v>
      </c>
      <c r="FH98" s="1225"/>
      <c r="FI98" s="1225"/>
      <c r="FJ98" s="1225"/>
      <c r="FK98" s="1225"/>
      <c r="FL98" s="1225"/>
      <c r="FM98" s="1225"/>
      <c r="FN98" s="1225"/>
      <c r="FO98" s="1225"/>
      <c r="FP98" s="1225"/>
      <c r="FQ98" s="1225"/>
      <c r="FR98" s="1225"/>
      <c r="FS98" s="1225"/>
      <c r="FT98" s="1225"/>
      <c r="FU98" s="1225"/>
      <c r="FV98" s="1225"/>
      <c r="FW98" s="1225"/>
      <c r="FX98" s="1227"/>
      <c r="FY98" s="1227"/>
    </row>
    <row r="99" spans="155:181" s="1053" customFormat="1" ht="15" customHeight="1" x14ac:dyDescent="0.25">
      <c r="EY99" s="1054"/>
      <c r="EZ99" s="1054"/>
      <c r="FA99" s="1054"/>
      <c r="FB99" s="1225"/>
      <c r="FC99" s="1225"/>
      <c r="FD99" s="1225"/>
      <c r="FE99" s="1226">
        <v>42242</v>
      </c>
      <c r="FF99" s="1225">
        <v>1</v>
      </c>
      <c r="FG99" s="1225">
        <v>80.724800000000002</v>
      </c>
      <c r="FH99" s="1225"/>
      <c r="FI99" s="1225"/>
      <c r="FJ99" s="1225"/>
      <c r="FK99" s="1225"/>
      <c r="FL99" s="1225"/>
      <c r="FM99" s="1225"/>
      <c r="FN99" s="1225"/>
      <c r="FO99" s="1225"/>
      <c r="FP99" s="1225"/>
      <c r="FQ99" s="1225"/>
      <c r="FR99" s="1225"/>
      <c r="FS99" s="1225"/>
      <c r="FT99" s="1225"/>
      <c r="FU99" s="1225"/>
      <c r="FV99" s="1225"/>
      <c r="FW99" s="1225"/>
      <c r="FX99" s="1227"/>
      <c r="FY99" s="1227"/>
    </row>
    <row r="100" spans="155:181" s="1053" customFormat="1" ht="15" customHeight="1" x14ac:dyDescent="0.25">
      <c r="EY100" s="1054"/>
      <c r="EZ100" s="1054"/>
      <c r="FA100" s="1054"/>
      <c r="FB100" s="1225"/>
      <c r="FC100" s="1225"/>
      <c r="FD100" s="1225"/>
      <c r="FE100" s="1226">
        <v>42243</v>
      </c>
      <c r="FF100" s="1225">
        <v>1</v>
      </c>
      <c r="FG100" s="1225">
        <v>79.725200000000001</v>
      </c>
      <c r="FH100" s="1225"/>
      <c r="FI100" s="1225"/>
      <c r="FJ100" s="1225"/>
      <c r="FK100" s="1225"/>
      <c r="FL100" s="1225"/>
      <c r="FM100" s="1225"/>
      <c r="FN100" s="1225"/>
      <c r="FO100" s="1225"/>
      <c r="FP100" s="1225"/>
      <c r="FQ100" s="1225"/>
      <c r="FR100" s="1225"/>
      <c r="FS100" s="1225"/>
      <c r="FT100" s="1225"/>
      <c r="FU100" s="1225"/>
      <c r="FV100" s="1225"/>
      <c r="FW100" s="1225"/>
      <c r="FX100" s="1227"/>
      <c r="FY100" s="1227"/>
    </row>
    <row r="101" spans="155:181" s="1053" customFormat="1" ht="15" customHeight="1" x14ac:dyDescent="0.25">
      <c r="EY101" s="1054"/>
      <c r="EZ101" s="1054"/>
      <c r="FA101" s="1054"/>
      <c r="FB101" s="1225"/>
      <c r="FC101" s="1225"/>
      <c r="FD101" s="1225"/>
      <c r="FE101" s="1226">
        <v>42244</v>
      </c>
      <c r="FF101" s="1225">
        <v>1</v>
      </c>
      <c r="FG101" s="1225">
        <v>76.3369</v>
      </c>
      <c r="FH101" s="1225"/>
      <c r="FI101" s="1225"/>
      <c r="FJ101" s="1225"/>
      <c r="FK101" s="1225"/>
      <c r="FL101" s="1225"/>
      <c r="FM101" s="1225"/>
      <c r="FN101" s="1225"/>
      <c r="FO101" s="1225"/>
      <c r="FP101" s="1225"/>
      <c r="FQ101" s="1225"/>
      <c r="FR101" s="1225"/>
      <c r="FS101" s="1225"/>
      <c r="FT101" s="1225"/>
      <c r="FU101" s="1225"/>
      <c r="FV101" s="1225"/>
      <c r="FW101" s="1225"/>
      <c r="FX101" s="1227"/>
      <c r="FY101" s="1227"/>
    </row>
    <row r="102" spans="155:181" s="1053" customFormat="1" ht="15" customHeight="1" x14ac:dyDescent="0.25">
      <c r="EY102" s="1054"/>
      <c r="EZ102" s="1054"/>
      <c r="FA102" s="1054"/>
      <c r="FB102" s="1225"/>
      <c r="FC102" s="1225"/>
      <c r="FD102" s="1225"/>
      <c r="FE102" s="1226">
        <v>42245</v>
      </c>
      <c r="FF102" s="1225">
        <v>1</v>
      </c>
      <c r="FG102" s="1225">
        <v>75.046899999999994</v>
      </c>
      <c r="FH102" s="1225"/>
      <c r="FI102" s="1225"/>
      <c r="FJ102" s="1225"/>
      <c r="FK102" s="1225"/>
      <c r="FL102" s="1225"/>
      <c r="FM102" s="1225"/>
      <c r="FN102" s="1225"/>
      <c r="FO102" s="1225"/>
      <c r="FP102" s="1225"/>
      <c r="FQ102" s="1225"/>
      <c r="FR102" s="1225"/>
      <c r="FS102" s="1225"/>
      <c r="FT102" s="1225"/>
      <c r="FU102" s="1225"/>
      <c r="FV102" s="1225"/>
      <c r="FW102" s="1225"/>
      <c r="FX102" s="1227"/>
      <c r="FY102" s="1227"/>
    </row>
    <row r="103" spans="155:181" s="1053" customFormat="1" ht="15" customHeight="1" x14ac:dyDescent="0.25">
      <c r="EY103" s="1054"/>
      <c r="EZ103" s="1054"/>
      <c r="FA103" s="1054"/>
      <c r="FB103" s="1225"/>
      <c r="FC103" s="1225"/>
      <c r="FD103" s="1225"/>
      <c r="FE103" s="1226">
        <v>42248</v>
      </c>
      <c r="FF103" s="1225">
        <v>1</v>
      </c>
      <c r="FG103" s="1225">
        <v>74.847800000000007</v>
      </c>
      <c r="FH103" s="1225"/>
      <c r="FI103" s="1225"/>
      <c r="FJ103" s="1225"/>
      <c r="FK103" s="1225"/>
      <c r="FL103" s="1225"/>
      <c r="FM103" s="1225"/>
      <c r="FN103" s="1225"/>
      <c r="FO103" s="1225"/>
      <c r="FP103" s="1225"/>
      <c r="FQ103" s="1225"/>
      <c r="FR103" s="1225"/>
      <c r="FS103" s="1225"/>
      <c r="FT103" s="1225"/>
      <c r="FU103" s="1225"/>
      <c r="FV103" s="1225"/>
      <c r="FW103" s="1225"/>
      <c r="FX103" s="1227"/>
      <c r="FY103" s="1227"/>
    </row>
    <row r="104" spans="155:181" s="1053" customFormat="1" ht="15" customHeight="1" x14ac:dyDescent="0.25">
      <c r="EY104" s="1054"/>
      <c r="EZ104" s="1054"/>
      <c r="FA104" s="1054"/>
      <c r="FB104" s="1225"/>
      <c r="FC104" s="1225"/>
      <c r="FD104" s="1225"/>
      <c r="FE104" s="1226">
        <v>42249</v>
      </c>
      <c r="FF104" s="1225">
        <v>1</v>
      </c>
      <c r="FG104" s="1225">
        <v>73.844899999999996</v>
      </c>
      <c r="FH104" s="1225"/>
      <c r="FI104" s="1225"/>
      <c r="FJ104" s="1225"/>
      <c r="FK104" s="1225"/>
      <c r="FL104" s="1225"/>
      <c r="FM104" s="1225"/>
      <c r="FN104" s="1225"/>
      <c r="FO104" s="1225"/>
      <c r="FP104" s="1225"/>
      <c r="FQ104" s="1225"/>
      <c r="FR104" s="1225"/>
      <c r="FS104" s="1225"/>
      <c r="FT104" s="1225"/>
      <c r="FU104" s="1225"/>
      <c r="FV104" s="1225"/>
      <c r="FW104" s="1225"/>
      <c r="FX104" s="1227"/>
      <c r="FY104" s="1227"/>
    </row>
    <row r="105" spans="155:181" s="1053" customFormat="1" ht="15" customHeight="1" x14ac:dyDescent="0.25">
      <c r="EY105" s="1054"/>
      <c r="EZ105" s="1054"/>
      <c r="FA105" s="1054"/>
      <c r="FB105" s="1225"/>
      <c r="FC105" s="1225"/>
      <c r="FD105" s="1225"/>
      <c r="FE105" s="1226">
        <v>42250</v>
      </c>
      <c r="FF105" s="1225">
        <v>1</v>
      </c>
      <c r="FG105" s="1225">
        <v>75.090100000000007</v>
      </c>
      <c r="FH105" s="1225"/>
      <c r="FI105" s="1225"/>
      <c r="FJ105" s="1225"/>
      <c r="FK105" s="1225"/>
      <c r="FL105" s="1225"/>
      <c r="FM105" s="1225"/>
      <c r="FN105" s="1225"/>
      <c r="FO105" s="1225"/>
      <c r="FP105" s="1225"/>
      <c r="FQ105" s="1225"/>
      <c r="FR105" s="1225"/>
      <c r="FS105" s="1225"/>
      <c r="FT105" s="1225"/>
      <c r="FU105" s="1225"/>
      <c r="FV105" s="1225"/>
      <c r="FW105" s="1225"/>
      <c r="FX105" s="1227"/>
      <c r="FY105" s="1227"/>
    </row>
    <row r="106" spans="155:181" s="1053" customFormat="1" ht="15" customHeight="1" x14ac:dyDescent="0.25">
      <c r="EY106" s="1054"/>
      <c r="EZ106" s="1054"/>
      <c r="FA106" s="1054"/>
      <c r="FB106" s="1225"/>
      <c r="FC106" s="1225"/>
      <c r="FD106" s="1225"/>
      <c r="FE106" s="1226">
        <v>42251</v>
      </c>
      <c r="FF106" s="1225">
        <v>1</v>
      </c>
      <c r="FG106" s="1225">
        <v>75.265900000000002</v>
      </c>
      <c r="FH106" s="1225"/>
      <c r="FI106" s="1225"/>
      <c r="FJ106" s="1225"/>
      <c r="FK106" s="1225"/>
      <c r="FL106" s="1225"/>
      <c r="FM106" s="1225"/>
      <c r="FN106" s="1225"/>
      <c r="FO106" s="1225"/>
      <c r="FP106" s="1225"/>
      <c r="FQ106" s="1225"/>
      <c r="FR106" s="1225"/>
      <c r="FS106" s="1225"/>
      <c r="FT106" s="1225"/>
      <c r="FU106" s="1225"/>
      <c r="FV106" s="1225"/>
      <c r="FW106" s="1225"/>
      <c r="FX106" s="1227"/>
      <c r="FY106" s="1227"/>
    </row>
    <row r="107" spans="155:181" s="1053" customFormat="1" ht="15" customHeight="1" x14ac:dyDescent="0.25">
      <c r="EY107" s="1054"/>
      <c r="EZ107" s="1054"/>
      <c r="FA107" s="1054"/>
      <c r="FB107" s="1225"/>
      <c r="FC107" s="1225"/>
      <c r="FD107" s="1225"/>
      <c r="FE107" s="1226">
        <v>42252</v>
      </c>
      <c r="FF107" s="1225">
        <v>1</v>
      </c>
      <c r="FG107" s="1225">
        <v>75.4011</v>
      </c>
      <c r="FH107" s="1225"/>
      <c r="FI107" s="1225"/>
      <c r="FJ107" s="1225"/>
      <c r="FK107" s="1225"/>
      <c r="FL107" s="1225"/>
      <c r="FM107" s="1225"/>
      <c r="FN107" s="1225"/>
      <c r="FO107" s="1225"/>
      <c r="FP107" s="1225"/>
      <c r="FQ107" s="1225"/>
      <c r="FR107" s="1225"/>
      <c r="FS107" s="1225"/>
      <c r="FT107" s="1225"/>
      <c r="FU107" s="1225"/>
      <c r="FV107" s="1225"/>
      <c r="FW107" s="1225"/>
      <c r="FX107" s="1227"/>
      <c r="FY107" s="1227"/>
    </row>
    <row r="108" spans="155:181" s="1053" customFormat="1" ht="15" customHeight="1" x14ac:dyDescent="0.25">
      <c r="EY108" s="1054"/>
      <c r="EZ108" s="1054"/>
      <c r="FA108" s="1054"/>
      <c r="FB108" s="1225"/>
      <c r="FC108" s="1225"/>
      <c r="FD108" s="1225"/>
      <c r="FE108" s="1226">
        <v>42255</v>
      </c>
      <c r="FF108" s="1225">
        <v>1</v>
      </c>
      <c r="FG108" s="1225">
        <v>76.369200000000006</v>
      </c>
      <c r="FH108" s="1225"/>
      <c r="FI108" s="1225"/>
      <c r="FJ108" s="1225"/>
      <c r="FK108" s="1225"/>
      <c r="FL108" s="1225"/>
      <c r="FM108" s="1225"/>
      <c r="FN108" s="1225"/>
      <c r="FO108" s="1225"/>
      <c r="FP108" s="1225"/>
      <c r="FQ108" s="1225"/>
      <c r="FR108" s="1225"/>
      <c r="FS108" s="1225"/>
      <c r="FT108" s="1225"/>
      <c r="FU108" s="1225"/>
      <c r="FV108" s="1225"/>
      <c r="FW108" s="1225"/>
      <c r="FX108" s="1227"/>
      <c r="FY108" s="1227"/>
    </row>
    <row r="109" spans="155:181" s="1053" customFormat="1" ht="15" customHeight="1" x14ac:dyDescent="0.25">
      <c r="EY109" s="1054"/>
      <c r="EZ109" s="1054"/>
      <c r="FA109" s="1054"/>
      <c r="FB109" s="1225"/>
      <c r="FC109" s="1225"/>
      <c r="FD109" s="1225"/>
      <c r="FE109" s="1226">
        <v>42256</v>
      </c>
      <c r="FF109" s="1225">
        <v>1</v>
      </c>
      <c r="FG109" s="1225">
        <v>76.924599999999998</v>
      </c>
      <c r="FH109" s="1225"/>
      <c r="FI109" s="1225"/>
      <c r="FJ109" s="1225"/>
      <c r="FK109" s="1225"/>
      <c r="FL109" s="1225"/>
      <c r="FM109" s="1225"/>
      <c r="FN109" s="1225"/>
      <c r="FO109" s="1225"/>
      <c r="FP109" s="1225"/>
      <c r="FQ109" s="1225"/>
      <c r="FR109" s="1225"/>
      <c r="FS109" s="1225"/>
      <c r="FT109" s="1225"/>
      <c r="FU109" s="1225"/>
      <c r="FV109" s="1225"/>
      <c r="FW109" s="1225"/>
      <c r="FX109" s="1227"/>
      <c r="FY109" s="1227"/>
    </row>
    <row r="110" spans="155:181" s="1053" customFormat="1" ht="15" customHeight="1" x14ac:dyDescent="0.25">
      <c r="EY110" s="1054"/>
      <c r="EZ110" s="1054"/>
      <c r="FA110" s="1054"/>
      <c r="FB110" s="1225"/>
      <c r="FC110" s="1225"/>
      <c r="FD110" s="1225"/>
      <c r="FE110" s="1226">
        <v>42257</v>
      </c>
      <c r="FF110" s="1225">
        <v>1</v>
      </c>
      <c r="FG110" s="1225">
        <v>75.574200000000005</v>
      </c>
      <c r="FH110" s="1225"/>
      <c r="FI110" s="1225"/>
      <c r="FJ110" s="1225"/>
      <c r="FK110" s="1225"/>
      <c r="FL110" s="1225"/>
      <c r="FM110" s="1225"/>
      <c r="FN110" s="1225"/>
      <c r="FO110" s="1225"/>
      <c r="FP110" s="1225"/>
      <c r="FQ110" s="1225"/>
      <c r="FR110" s="1225"/>
      <c r="FS110" s="1225"/>
      <c r="FT110" s="1225"/>
      <c r="FU110" s="1225"/>
      <c r="FV110" s="1225"/>
      <c r="FW110" s="1225"/>
      <c r="FX110" s="1227"/>
      <c r="FY110" s="1227"/>
    </row>
    <row r="111" spans="155:181" s="1053" customFormat="1" ht="15" customHeight="1" x14ac:dyDescent="0.25">
      <c r="EY111" s="1054"/>
      <c r="EZ111" s="1054"/>
      <c r="FA111" s="1054"/>
      <c r="FB111" s="1225"/>
      <c r="FC111" s="1225"/>
      <c r="FD111" s="1225"/>
      <c r="FE111" s="1226">
        <v>42258</v>
      </c>
      <c r="FF111" s="1225">
        <v>1</v>
      </c>
      <c r="FG111" s="1225">
        <v>76.695099999999996</v>
      </c>
      <c r="FH111" s="1225"/>
      <c r="FI111" s="1225"/>
      <c r="FJ111" s="1225"/>
      <c r="FK111" s="1225"/>
      <c r="FL111" s="1225"/>
      <c r="FM111" s="1225"/>
      <c r="FN111" s="1225"/>
      <c r="FO111" s="1225"/>
      <c r="FP111" s="1225"/>
      <c r="FQ111" s="1225"/>
      <c r="FR111" s="1225"/>
      <c r="FS111" s="1225"/>
      <c r="FT111" s="1225"/>
      <c r="FU111" s="1225"/>
      <c r="FV111" s="1225"/>
      <c r="FW111" s="1225"/>
      <c r="FX111" s="1227"/>
      <c r="FY111" s="1227"/>
    </row>
    <row r="112" spans="155:181" s="1053" customFormat="1" ht="15" customHeight="1" x14ac:dyDescent="0.25">
      <c r="EY112" s="1054"/>
      <c r="EZ112" s="1054"/>
      <c r="FA112" s="1054"/>
      <c r="FB112" s="1225"/>
      <c r="FC112" s="1225"/>
      <c r="FD112" s="1225"/>
      <c r="FE112" s="1226">
        <v>42259</v>
      </c>
      <c r="FF112" s="1225">
        <v>1</v>
      </c>
      <c r="FG112" s="1225">
        <v>76.816500000000005</v>
      </c>
      <c r="FH112" s="1225"/>
      <c r="FI112" s="1225"/>
      <c r="FJ112" s="1225"/>
      <c r="FK112" s="1225"/>
      <c r="FL112" s="1225"/>
      <c r="FM112" s="1225"/>
      <c r="FN112" s="1225"/>
      <c r="FO112" s="1225"/>
      <c r="FP112" s="1225"/>
      <c r="FQ112" s="1225"/>
      <c r="FR112" s="1225"/>
      <c r="FS112" s="1225"/>
      <c r="FT112" s="1225"/>
      <c r="FU112" s="1225"/>
      <c r="FV112" s="1225"/>
      <c r="FW112" s="1225"/>
      <c r="FX112" s="1227"/>
      <c r="FY112" s="1227"/>
    </row>
    <row r="113" spans="12:182" s="1053" customFormat="1" ht="15" customHeight="1" x14ac:dyDescent="0.25">
      <c r="EY113" s="1054"/>
      <c r="EZ113" s="1054"/>
      <c r="FA113" s="1054"/>
      <c r="FB113" s="1225"/>
      <c r="FC113" s="1225"/>
      <c r="FD113" s="1225"/>
      <c r="FE113" s="1226">
        <v>42262</v>
      </c>
      <c r="FF113" s="1225">
        <v>1</v>
      </c>
      <c r="FG113" s="1225">
        <v>77.131299999999996</v>
      </c>
      <c r="FH113" s="1225"/>
      <c r="FI113" s="1225"/>
      <c r="FJ113" s="1225"/>
      <c r="FK113" s="1225"/>
      <c r="FL113" s="1225"/>
      <c r="FM113" s="1225"/>
      <c r="FN113" s="1225"/>
      <c r="FO113" s="1225"/>
      <c r="FP113" s="1225"/>
      <c r="FQ113" s="1225"/>
      <c r="FR113" s="1225"/>
      <c r="FS113" s="1225"/>
      <c r="FT113" s="1225"/>
      <c r="FU113" s="1225"/>
      <c r="FV113" s="1225"/>
      <c r="FW113" s="1225"/>
      <c r="FX113" s="1227"/>
      <c r="FY113" s="1227"/>
    </row>
    <row r="114" spans="12:182" s="1053" customFormat="1" ht="15" customHeight="1" x14ac:dyDescent="0.25">
      <c r="EY114" s="1054"/>
      <c r="EZ114" s="1054"/>
      <c r="FA114" s="1054"/>
      <c r="FB114" s="1225"/>
      <c r="FC114" s="1225"/>
      <c r="FD114" s="1225"/>
      <c r="FE114" s="1226">
        <v>42263</v>
      </c>
      <c r="FF114" s="1225">
        <v>1</v>
      </c>
      <c r="FG114" s="1225">
        <v>75.901300000000006</v>
      </c>
      <c r="FH114" s="1225"/>
      <c r="FI114" s="1225"/>
      <c r="FJ114" s="1225"/>
      <c r="FK114" s="1225"/>
      <c r="FL114" s="1225"/>
      <c r="FM114" s="1225"/>
      <c r="FN114" s="1225"/>
      <c r="FO114" s="1225"/>
      <c r="FP114" s="1225"/>
      <c r="FQ114" s="1225"/>
      <c r="FR114" s="1225"/>
      <c r="FS114" s="1225"/>
      <c r="FT114" s="1225"/>
      <c r="FU114" s="1225"/>
      <c r="FV114" s="1225"/>
      <c r="FW114" s="1225"/>
      <c r="FX114" s="1227"/>
      <c r="FY114" s="1227"/>
    </row>
    <row r="115" spans="12:182" s="1053" customFormat="1" ht="15" customHeight="1" x14ac:dyDescent="0.25">
      <c r="EY115" s="1054"/>
      <c r="EZ115" s="1054"/>
      <c r="FA115" s="1054"/>
      <c r="FB115" s="1225"/>
      <c r="FC115" s="1225"/>
      <c r="FD115" s="1225"/>
      <c r="FE115" s="1226">
        <v>42264</v>
      </c>
      <c r="FF115" s="1225">
        <v>1</v>
      </c>
      <c r="FG115" s="1225">
        <v>74.240700000000004</v>
      </c>
      <c r="FH115" s="1225"/>
      <c r="FI115" s="1225"/>
      <c r="FJ115" s="1225"/>
      <c r="FK115" s="1225"/>
      <c r="FL115" s="1225"/>
      <c r="FM115" s="1225"/>
      <c r="FN115" s="1225"/>
      <c r="FO115" s="1225"/>
      <c r="FP115" s="1225"/>
      <c r="FQ115" s="1225"/>
      <c r="FR115" s="1225"/>
      <c r="FS115" s="1225"/>
      <c r="FT115" s="1225"/>
      <c r="FU115" s="1225"/>
      <c r="FV115" s="1225"/>
      <c r="FW115" s="1225"/>
      <c r="FX115" s="1227"/>
      <c r="FY115" s="1227"/>
    </row>
    <row r="116" spans="12:182" s="1053" customFormat="1" ht="15" customHeight="1" x14ac:dyDescent="0.25">
      <c r="EY116" s="1054"/>
      <c r="EZ116" s="1054"/>
      <c r="FA116" s="1054"/>
      <c r="FB116" s="1225"/>
      <c r="FC116" s="1225"/>
      <c r="FD116" s="1225"/>
      <c r="FE116" s="1226">
        <v>42265</v>
      </c>
      <c r="FF116" s="1225">
        <v>1</v>
      </c>
      <c r="FG116" s="1225">
        <v>73.937799999999996</v>
      </c>
      <c r="FH116" s="1225"/>
      <c r="FI116" s="1225"/>
      <c r="FJ116" s="1225"/>
      <c r="FK116" s="1225"/>
      <c r="FL116" s="1225"/>
      <c r="FM116" s="1225"/>
      <c r="FN116" s="1225"/>
      <c r="FO116" s="1225"/>
      <c r="FP116" s="1225"/>
      <c r="FQ116" s="1225"/>
      <c r="FR116" s="1225"/>
      <c r="FS116" s="1225"/>
      <c r="FT116" s="1225"/>
      <c r="FU116" s="1225"/>
      <c r="FV116" s="1225"/>
      <c r="FW116" s="1225"/>
      <c r="FX116" s="1227"/>
      <c r="FY116" s="1227"/>
    </row>
    <row r="117" spans="12:182" s="1053" customFormat="1" ht="15" customHeight="1" x14ac:dyDescent="0.25">
      <c r="EY117" s="1054"/>
      <c r="EZ117" s="1054"/>
      <c r="FA117" s="1054"/>
      <c r="FB117" s="1225"/>
      <c r="FC117" s="1225"/>
      <c r="FD117" s="1225"/>
      <c r="FE117" s="1226">
        <v>42266</v>
      </c>
      <c r="FF117" s="1225">
        <v>1</v>
      </c>
      <c r="FG117" s="1225">
        <v>74.9726</v>
      </c>
      <c r="FH117" s="1225"/>
      <c r="FI117" s="1225"/>
      <c r="FJ117" s="1225"/>
      <c r="FK117" s="1225"/>
      <c r="FL117" s="1225"/>
      <c r="FM117" s="1225"/>
      <c r="FN117" s="1225"/>
      <c r="FO117" s="1225"/>
      <c r="FP117" s="1225"/>
      <c r="FQ117" s="1225"/>
      <c r="FR117" s="1225"/>
      <c r="FS117" s="1225"/>
      <c r="FT117" s="1225"/>
      <c r="FU117" s="1225"/>
      <c r="FV117" s="1225"/>
      <c r="FW117" s="1225"/>
      <c r="FX117" s="1227"/>
      <c r="FY117" s="1227"/>
    </row>
    <row r="118" spans="12:182" s="1053" customFormat="1" ht="15" customHeight="1" x14ac:dyDescent="0.25">
      <c r="EY118" s="1054"/>
      <c r="EZ118" s="1054"/>
      <c r="FA118" s="1054"/>
      <c r="FB118" s="1225"/>
      <c r="FC118" s="1225"/>
      <c r="FD118" s="1225"/>
      <c r="FE118" s="1226">
        <v>42269</v>
      </c>
      <c r="FF118" s="1225">
        <v>1</v>
      </c>
      <c r="FG118" s="1225">
        <v>74.830399999999997</v>
      </c>
      <c r="FH118" s="1225"/>
      <c r="FI118" s="1225"/>
      <c r="FJ118" s="1225"/>
      <c r="FK118" s="1225"/>
      <c r="FL118" s="1225"/>
      <c r="FM118" s="1225"/>
      <c r="FN118" s="1225"/>
      <c r="FO118" s="1225"/>
      <c r="FP118" s="1225"/>
      <c r="FQ118" s="1225"/>
      <c r="FR118" s="1225"/>
      <c r="FS118" s="1225"/>
      <c r="FT118" s="1225"/>
      <c r="FU118" s="1225"/>
      <c r="FV118" s="1225"/>
      <c r="FW118" s="1225"/>
      <c r="FX118" s="1227"/>
      <c r="FY118" s="1227"/>
    </row>
    <row r="119" spans="12:182" s="1053" customFormat="1" ht="15" customHeight="1" x14ac:dyDescent="0.25">
      <c r="EY119" s="1054"/>
      <c r="EZ119" s="1054"/>
      <c r="FA119" s="1054"/>
      <c r="FB119" s="1225"/>
      <c r="FC119" s="1225"/>
      <c r="FD119" s="1225"/>
      <c r="FE119" s="1226">
        <v>42270</v>
      </c>
      <c r="FF119" s="1225">
        <v>1</v>
      </c>
      <c r="FG119" s="1225">
        <v>73.956800000000001</v>
      </c>
      <c r="FH119" s="1225"/>
      <c r="FI119" s="1225"/>
      <c r="FJ119" s="1225"/>
      <c r="FK119" s="1225"/>
      <c r="FL119" s="1225"/>
      <c r="FM119" s="1225"/>
      <c r="FN119" s="1225"/>
      <c r="FO119" s="1225"/>
      <c r="FP119" s="1225"/>
      <c r="FQ119" s="1225"/>
      <c r="FR119" s="1225"/>
      <c r="FS119" s="1225"/>
      <c r="FT119" s="1225"/>
      <c r="FU119" s="1225"/>
      <c r="FV119" s="1225"/>
      <c r="FW119" s="1225"/>
      <c r="FX119" s="1227"/>
      <c r="FY119" s="1227"/>
    </row>
    <row r="120" spans="12:182" s="1053" customFormat="1" ht="15" customHeight="1" x14ac:dyDescent="0.25">
      <c r="EY120" s="1054"/>
      <c r="EZ120" s="1054"/>
      <c r="FA120" s="1054"/>
      <c r="FB120" s="1225"/>
      <c r="FC120" s="1225"/>
      <c r="FD120" s="1225"/>
      <c r="FE120" s="1226">
        <v>42271</v>
      </c>
      <c r="FF120" s="1225">
        <v>1</v>
      </c>
      <c r="FG120" s="1225">
        <v>73.536699999999996</v>
      </c>
      <c r="FH120" s="1225"/>
      <c r="FI120" s="1225"/>
      <c r="FJ120" s="1225"/>
      <c r="FK120" s="1225"/>
      <c r="FL120" s="1225"/>
      <c r="FM120" s="1225"/>
      <c r="FN120" s="1225"/>
      <c r="FO120" s="1225"/>
      <c r="FP120" s="1225"/>
      <c r="FQ120" s="1225"/>
      <c r="FR120" s="1225"/>
      <c r="FS120" s="1225"/>
      <c r="FT120" s="1225"/>
      <c r="FU120" s="1225"/>
      <c r="FV120" s="1225"/>
      <c r="FW120" s="1225"/>
      <c r="FX120" s="1227"/>
      <c r="FY120" s="1227"/>
    </row>
    <row r="121" spans="12:182" s="1053" customFormat="1" ht="15" customHeight="1" x14ac:dyDescent="0.25">
      <c r="EY121" s="1054"/>
      <c r="EZ121" s="1054"/>
      <c r="FA121" s="1054"/>
      <c r="FB121" s="1225"/>
      <c r="FC121" s="1225"/>
      <c r="FD121" s="1225"/>
      <c r="FE121" s="1226">
        <v>42272</v>
      </c>
      <c r="FF121" s="1225">
        <v>1</v>
      </c>
      <c r="FG121" s="1225">
        <v>74.543499999999995</v>
      </c>
      <c r="FH121" s="1225"/>
      <c r="FI121" s="1225"/>
      <c r="FJ121" s="1225"/>
      <c r="FK121" s="1225"/>
      <c r="FL121" s="1225"/>
      <c r="FM121" s="1225"/>
      <c r="FN121" s="1225"/>
      <c r="FO121" s="1225"/>
      <c r="FP121" s="1225"/>
      <c r="FQ121" s="1225"/>
      <c r="FR121" s="1225"/>
      <c r="FS121" s="1225"/>
      <c r="FT121" s="1225"/>
      <c r="FU121" s="1225"/>
      <c r="FV121" s="1225"/>
      <c r="FW121" s="1225"/>
      <c r="FX121" s="1227"/>
      <c r="FY121" s="1227"/>
    </row>
    <row r="122" spans="12:182" s="1053" customFormat="1" ht="15" customHeight="1" x14ac:dyDescent="0.25">
      <c r="EY122" s="1054"/>
      <c r="EZ122" s="1054"/>
      <c r="FA122" s="1054"/>
      <c r="FB122" s="1225"/>
      <c r="FC122" s="1225"/>
      <c r="FD122" s="1225"/>
      <c r="FE122" s="1226">
        <v>42273</v>
      </c>
      <c r="FF122" s="1225">
        <v>1</v>
      </c>
      <c r="FG122" s="1225">
        <v>73.139700000000005</v>
      </c>
      <c r="FH122" s="1225"/>
      <c r="FI122" s="1225"/>
      <c r="FJ122" s="1225"/>
      <c r="FK122" s="1225"/>
      <c r="FL122" s="1225"/>
      <c r="FM122" s="1225"/>
      <c r="FN122" s="1225"/>
      <c r="FO122" s="1225"/>
      <c r="FP122" s="1225"/>
      <c r="FQ122" s="1225"/>
      <c r="FR122" s="1225"/>
      <c r="FS122" s="1225"/>
      <c r="FT122" s="1225"/>
      <c r="FU122" s="1225"/>
      <c r="FV122" s="1225"/>
      <c r="FW122" s="1225"/>
      <c r="FX122" s="1227"/>
      <c r="FY122" s="1227"/>
    </row>
    <row r="123" spans="12:182" s="1053" customFormat="1" ht="15" customHeight="1" x14ac:dyDescent="0.25">
      <c r="L123" s="1149"/>
      <c r="M123" s="1149"/>
      <c r="N123" s="1149"/>
      <c r="O123" s="1149"/>
      <c r="P123" s="1149"/>
      <c r="Q123" s="1149"/>
      <c r="R123" s="1149"/>
      <c r="S123" s="1149"/>
      <c r="T123" s="1149"/>
      <c r="U123" s="1149"/>
      <c r="EY123" s="1054"/>
      <c r="EZ123" s="1054"/>
      <c r="FA123" s="1054"/>
      <c r="FB123" s="1225"/>
      <c r="FC123" s="1225"/>
      <c r="FD123" s="1225"/>
      <c r="FE123" s="1226">
        <v>42276</v>
      </c>
      <c r="FF123" s="1225">
        <v>1</v>
      </c>
      <c r="FG123" s="1225">
        <v>73.2684</v>
      </c>
      <c r="FH123" s="1225"/>
      <c r="FI123" s="1225"/>
      <c r="FJ123" s="1225"/>
      <c r="FK123" s="1225"/>
      <c r="FL123" s="1225"/>
      <c r="FM123" s="1225"/>
      <c r="FN123" s="1225"/>
      <c r="FO123" s="1225"/>
      <c r="FP123" s="1225"/>
      <c r="FQ123" s="1225"/>
      <c r="FR123" s="1225"/>
      <c r="FS123" s="1225"/>
      <c r="FT123" s="1225"/>
      <c r="FU123" s="1225"/>
      <c r="FV123" s="1225"/>
      <c r="FW123" s="1225"/>
      <c r="FX123" s="1227"/>
      <c r="FY123" s="1227"/>
    </row>
    <row r="124" spans="12:182" s="1053" customFormat="1" ht="15" customHeight="1" x14ac:dyDescent="0.25">
      <c r="L124" s="1149"/>
      <c r="M124" s="1149"/>
      <c r="N124" s="1149"/>
      <c r="O124" s="1149"/>
      <c r="P124" s="1149"/>
      <c r="Q124" s="1149"/>
      <c r="R124" s="1149"/>
      <c r="S124" s="1149"/>
      <c r="T124" s="1149"/>
      <c r="U124" s="1149"/>
      <c r="EY124" s="1054"/>
      <c r="EZ124" s="1054"/>
      <c r="FA124" s="1054"/>
      <c r="FB124" s="1225"/>
      <c r="FC124" s="1225"/>
      <c r="FD124" s="1225"/>
      <c r="FE124" s="1226">
        <v>42277</v>
      </c>
      <c r="FF124" s="1225">
        <v>1</v>
      </c>
      <c r="FG124" s="1225">
        <v>74.582499999999996</v>
      </c>
      <c r="FH124" s="1225"/>
      <c r="FI124" s="1225"/>
      <c r="FJ124" s="1225"/>
      <c r="FK124" s="1225"/>
      <c r="FL124" s="1225"/>
      <c r="FM124" s="1225"/>
      <c r="FN124" s="1225"/>
      <c r="FO124" s="1225"/>
      <c r="FP124" s="1225"/>
      <c r="FQ124" s="1225"/>
      <c r="FR124" s="1225"/>
      <c r="FS124" s="1225"/>
      <c r="FT124" s="1225"/>
      <c r="FU124" s="1225"/>
      <c r="FV124" s="1225"/>
      <c r="FW124" s="1225"/>
      <c r="FX124" s="1227"/>
      <c r="FY124" s="1227"/>
    </row>
    <row r="125" spans="12:182" s="1149" customFormat="1" ht="15" customHeight="1" x14ac:dyDescent="0.25">
      <c r="EY125" s="1147"/>
      <c r="EZ125" s="1147"/>
      <c r="FA125" s="1147"/>
      <c r="FB125" s="1228"/>
      <c r="FC125" s="1228"/>
      <c r="FD125" s="1228"/>
      <c r="FE125" s="1226">
        <v>42278</v>
      </c>
      <c r="FF125" s="1225">
        <v>1</v>
      </c>
      <c r="FG125" s="1225">
        <v>73.775999999999996</v>
      </c>
      <c r="FH125" s="1228"/>
      <c r="FI125" s="1228"/>
      <c r="FJ125" s="1228"/>
      <c r="FK125" s="1228"/>
      <c r="FL125" s="1228"/>
      <c r="FM125" s="1228"/>
      <c r="FN125" s="1228"/>
      <c r="FO125" s="1228"/>
      <c r="FP125" s="1228"/>
      <c r="FQ125" s="1228"/>
      <c r="FR125" s="1228"/>
      <c r="FS125" s="1228"/>
      <c r="FT125" s="1228"/>
      <c r="FU125" s="1228"/>
      <c r="FV125" s="1228"/>
      <c r="FW125" s="1228"/>
      <c r="FX125" s="1229"/>
      <c r="FY125" s="1229"/>
      <c r="FZ125" s="1148"/>
    </row>
    <row r="126" spans="12:182" s="1149" customFormat="1" ht="15" customHeight="1" x14ac:dyDescent="0.25">
      <c r="EY126" s="1147"/>
      <c r="EZ126" s="1147"/>
      <c r="FA126" s="1147"/>
      <c r="FB126" s="1228"/>
      <c r="FC126" s="1228"/>
      <c r="FD126" s="1228"/>
      <c r="FE126" s="1226">
        <v>42279</v>
      </c>
      <c r="FF126" s="1225">
        <v>1</v>
      </c>
      <c r="FG126" s="1225">
        <v>72.486500000000007</v>
      </c>
      <c r="FH126" s="1228"/>
      <c r="FI126" s="1228"/>
      <c r="FJ126" s="1228"/>
      <c r="FK126" s="1228"/>
      <c r="FL126" s="1228"/>
      <c r="FM126" s="1228"/>
      <c r="FN126" s="1228"/>
      <c r="FO126" s="1228"/>
      <c r="FP126" s="1228"/>
      <c r="FQ126" s="1228"/>
      <c r="FR126" s="1228"/>
      <c r="FS126" s="1228"/>
      <c r="FT126" s="1228"/>
      <c r="FU126" s="1228"/>
      <c r="FV126" s="1228"/>
      <c r="FW126" s="1228"/>
      <c r="FX126" s="1229"/>
      <c r="FY126" s="1229"/>
      <c r="FZ126" s="1148"/>
    </row>
    <row r="127" spans="12:182" s="1149" customFormat="1" ht="15" customHeight="1" x14ac:dyDescent="0.25">
      <c r="EY127" s="1147"/>
      <c r="EZ127" s="1147"/>
      <c r="FA127" s="1147"/>
      <c r="FB127" s="1228"/>
      <c r="FC127" s="1228"/>
      <c r="FD127" s="1228"/>
      <c r="FE127" s="1226">
        <v>42280</v>
      </c>
      <c r="FF127" s="1225">
        <v>1</v>
      </c>
      <c r="FG127" s="1225">
        <v>73.630200000000002</v>
      </c>
      <c r="FH127" s="1228"/>
      <c r="FI127" s="1228"/>
      <c r="FJ127" s="1228"/>
      <c r="FK127" s="1228"/>
      <c r="FL127" s="1228"/>
      <c r="FM127" s="1228"/>
      <c r="FN127" s="1228"/>
      <c r="FO127" s="1228"/>
      <c r="FP127" s="1228"/>
      <c r="FQ127" s="1228"/>
      <c r="FR127" s="1228"/>
      <c r="FS127" s="1228"/>
      <c r="FT127" s="1228"/>
      <c r="FU127" s="1228"/>
      <c r="FV127" s="1228"/>
      <c r="FW127" s="1228"/>
      <c r="FX127" s="1229"/>
      <c r="FY127" s="1229"/>
      <c r="FZ127" s="1148"/>
    </row>
    <row r="128" spans="12:182" s="1149" customFormat="1" ht="15" customHeight="1" x14ac:dyDescent="0.25">
      <c r="EY128" s="1147"/>
      <c r="EZ128" s="1147"/>
      <c r="FA128" s="1147"/>
      <c r="FB128" s="1228"/>
      <c r="FC128" s="1228"/>
      <c r="FD128" s="1228"/>
      <c r="FE128" s="1226">
        <v>42283</v>
      </c>
      <c r="FF128" s="1225">
        <v>1</v>
      </c>
      <c r="FG128" s="1225">
        <v>73.795100000000005</v>
      </c>
      <c r="FH128" s="1228"/>
      <c r="FI128" s="1228"/>
      <c r="FJ128" s="1228"/>
      <c r="FK128" s="1228"/>
      <c r="FL128" s="1228"/>
      <c r="FM128" s="1228"/>
      <c r="FN128" s="1228"/>
      <c r="FO128" s="1228"/>
      <c r="FP128" s="1228"/>
      <c r="FQ128" s="1228"/>
      <c r="FR128" s="1228"/>
      <c r="FS128" s="1228"/>
      <c r="FT128" s="1228"/>
      <c r="FU128" s="1228"/>
      <c r="FV128" s="1228"/>
      <c r="FW128" s="1228"/>
      <c r="FX128" s="1229"/>
      <c r="FY128" s="1229"/>
      <c r="FZ128" s="1148"/>
    </row>
    <row r="129" spans="155:182" s="1149" customFormat="1" ht="15" customHeight="1" x14ac:dyDescent="0.25">
      <c r="EY129" s="1147"/>
      <c r="EZ129" s="1147"/>
      <c r="FA129" s="1147"/>
      <c r="FB129" s="1228"/>
      <c r="FC129" s="1228"/>
      <c r="FD129" s="1228"/>
      <c r="FE129" s="1226">
        <v>42284</v>
      </c>
      <c r="FF129" s="1225">
        <v>1</v>
      </c>
      <c r="FG129" s="1225">
        <v>72.946799999999996</v>
      </c>
      <c r="FH129" s="1228"/>
      <c r="FI129" s="1228"/>
      <c r="FJ129" s="1228"/>
      <c r="FK129" s="1228"/>
      <c r="FL129" s="1228"/>
      <c r="FM129" s="1228"/>
      <c r="FN129" s="1228"/>
      <c r="FO129" s="1228"/>
      <c r="FP129" s="1228"/>
      <c r="FQ129" s="1228"/>
      <c r="FR129" s="1228"/>
      <c r="FS129" s="1228"/>
      <c r="FT129" s="1228"/>
      <c r="FU129" s="1228"/>
      <c r="FV129" s="1228"/>
      <c r="FW129" s="1228"/>
      <c r="FX129" s="1229"/>
      <c r="FY129" s="1229"/>
      <c r="FZ129" s="1148"/>
    </row>
    <row r="130" spans="155:182" s="1149" customFormat="1" ht="15" customHeight="1" x14ac:dyDescent="0.25">
      <c r="EY130" s="1147"/>
      <c r="EZ130" s="1147"/>
      <c r="FA130" s="1147"/>
      <c r="FB130" s="1228"/>
      <c r="FC130" s="1228"/>
      <c r="FD130" s="1228"/>
      <c r="FE130" s="1226">
        <v>42285</v>
      </c>
      <c r="FF130" s="1225">
        <v>1</v>
      </c>
      <c r="FG130" s="1225">
        <v>70.469099999999997</v>
      </c>
      <c r="FH130" s="1228"/>
      <c r="FI130" s="1228"/>
      <c r="FJ130" s="1228"/>
      <c r="FK130" s="1228"/>
      <c r="FL130" s="1228"/>
      <c r="FM130" s="1228"/>
      <c r="FN130" s="1228"/>
      <c r="FO130" s="1228"/>
      <c r="FP130" s="1228"/>
      <c r="FQ130" s="1228"/>
      <c r="FR130" s="1228"/>
      <c r="FS130" s="1228"/>
      <c r="FT130" s="1228"/>
      <c r="FU130" s="1228"/>
      <c r="FV130" s="1228"/>
      <c r="FW130" s="1228"/>
      <c r="FX130" s="1229"/>
      <c r="FY130" s="1229"/>
      <c r="FZ130" s="1148"/>
    </row>
    <row r="131" spans="155:182" s="1149" customFormat="1" ht="15" customHeight="1" x14ac:dyDescent="0.25">
      <c r="EY131" s="1147"/>
      <c r="EZ131" s="1147"/>
      <c r="FA131" s="1147"/>
      <c r="FB131" s="1228"/>
      <c r="FC131" s="1228"/>
      <c r="FD131" s="1228"/>
      <c r="FE131" s="1226">
        <v>42286</v>
      </c>
      <c r="FF131" s="1225">
        <v>1</v>
      </c>
      <c r="FG131" s="1225">
        <v>70.305199999999999</v>
      </c>
      <c r="FH131" s="1228"/>
      <c r="FI131" s="1228"/>
      <c r="FJ131" s="1228"/>
      <c r="FK131" s="1228"/>
      <c r="FL131" s="1228"/>
      <c r="FM131" s="1228"/>
      <c r="FN131" s="1228"/>
      <c r="FO131" s="1228"/>
      <c r="FP131" s="1228"/>
      <c r="FQ131" s="1228"/>
      <c r="FR131" s="1228"/>
      <c r="FS131" s="1228"/>
      <c r="FT131" s="1228"/>
      <c r="FU131" s="1228"/>
      <c r="FV131" s="1228"/>
      <c r="FW131" s="1228"/>
      <c r="FX131" s="1229"/>
      <c r="FY131" s="1229"/>
      <c r="FZ131" s="1148"/>
    </row>
    <row r="132" spans="155:182" s="1149" customFormat="1" ht="15" customHeight="1" x14ac:dyDescent="0.25">
      <c r="EY132" s="1147"/>
      <c r="EZ132" s="1147"/>
      <c r="FA132" s="1147"/>
      <c r="FB132" s="1228"/>
      <c r="FC132" s="1228"/>
      <c r="FD132" s="1228"/>
      <c r="FE132" s="1226">
        <v>42287</v>
      </c>
      <c r="FF132" s="1225">
        <v>1</v>
      </c>
      <c r="FG132" s="1225">
        <v>69.344999999999999</v>
      </c>
      <c r="FH132" s="1228"/>
      <c r="FI132" s="1228"/>
      <c r="FJ132" s="1228"/>
      <c r="FK132" s="1228"/>
      <c r="FL132" s="1228"/>
      <c r="FM132" s="1228"/>
      <c r="FN132" s="1228"/>
      <c r="FO132" s="1228"/>
      <c r="FP132" s="1228"/>
      <c r="FQ132" s="1228"/>
      <c r="FR132" s="1228"/>
      <c r="FS132" s="1228"/>
      <c r="FT132" s="1228"/>
      <c r="FU132" s="1228"/>
      <c r="FV132" s="1228"/>
      <c r="FW132" s="1228"/>
      <c r="FX132" s="1229"/>
      <c r="FY132" s="1229"/>
      <c r="FZ132" s="1148"/>
    </row>
    <row r="133" spans="155:182" s="1149" customFormat="1" ht="15" customHeight="1" x14ac:dyDescent="0.25">
      <c r="EY133" s="1147"/>
      <c r="EZ133" s="1147"/>
      <c r="FA133" s="1147"/>
      <c r="FB133" s="1228"/>
      <c r="FC133" s="1228"/>
      <c r="FD133" s="1228"/>
      <c r="FE133" s="1104">
        <v>42290</v>
      </c>
      <c r="FF133" s="1055">
        <v>1</v>
      </c>
      <c r="FG133" s="1055">
        <v>69.549899999999994</v>
      </c>
      <c r="FH133" s="1228"/>
      <c r="FI133" s="1228"/>
      <c r="FJ133" s="1228"/>
      <c r="FK133" s="1228"/>
      <c r="FL133" s="1228"/>
      <c r="FM133" s="1228"/>
      <c r="FN133" s="1228"/>
      <c r="FO133" s="1228"/>
      <c r="FP133" s="1228"/>
      <c r="FQ133" s="1228"/>
      <c r="FR133" s="1228"/>
      <c r="FS133" s="1228"/>
      <c r="FT133" s="1228"/>
      <c r="FU133" s="1228"/>
      <c r="FV133" s="1228"/>
      <c r="FW133" s="1228"/>
      <c r="FX133" s="1229"/>
      <c r="FY133" s="1229"/>
      <c r="FZ133" s="1148"/>
    </row>
    <row r="134" spans="155:182" s="1149" customFormat="1" ht="15" customHeight="1" x14ac:dyDescent="0.25">
      <c r="EY134" s="1147"/>
      <c r="EZ134" s="1147"/>
      <c r="FA134" s="1147"/>
      <c r="FB134" s="1228"/>
      <c r="FC134" s="1228"/>
      <c r="FD134" s="1228"/>
      <c r="FE134" s="1104">
        <v>42291</v>
      </c>
      <c r="FF134" s="1055">
        <v>1</v>
      </c>
      <c r="FG134" s="1055">
        <v>70.8977</v>
      </c>
      <c r="FH134" s="1228"/>
      <c r="FI134" s="1228"/>
      <c r="FJ134" s="1228"/>
      <c r="FK134" s="1228"/>
      <c r="FL134" s="1228"/>
      <c r="FM134" s="1228"/>
      <c r="FN134" s="1228"/>
      <c r="FO134" s="1228"/>
      <c r="FP134" s="1228"/>
      <c r="FQ134" s="1228"/>
      <c r="FR134" s="1228"/>
      <c r="FS134" s="1228"/>
      <c r="FT134" s="1228"/>
      <c r="FU134" s="1228"/>
      <c r="FV134" s="1228"/>
      <c r="FW134" s="1228"/>
      <c r="FX134" s="1229"/>
      <c r="FY134" s="1229"/>
      <c r="FZ134" s="1148"/>
    </row>
    <row r="135" spans="155:182" s="1149" customFormat="1" x14ac:dyDescent="0.25">
      <c r="EY135" s="1147"/>
      <c r="EZ135" s="1147"/>
      <c r="FA135" s="1147"/>
      <c r="FB135" s="1228"/>
      <c r="FC135" s="1228"/>
      <c r="FD135" s="1228"/>
      <c r="FE135" s="1104">
        <v>42292</v>
      </c>
      <c r="FF135" s="1055">
        <v>1</v>
      </c>
      <c r="FG135" s="1055">
        <v>72.050600000000003</v>
      </c>
      <c r="FH135" s="1228"/>
      <c r="FI135" s="1228"/>
      <c r="FJ135" s="1228"/>
      <c r="FK135" s="1228"/>
      <c r="FL135" s="1228"/>
      <c r="FM135" s="1228"/>
      <c r="FN135" s="1228"/>
      <c r="FO135" s="1228"/>
      <c r="FP135" s="1228"/>
      <c r="FQ135" s="1228"/>
      <c r="FR135" s="1228"/>
      <c r="FS135" s="1228"/>
      <c r="FT135" s="1228"/>
      <c r="FU135" s="1228"/>
      <c r="FV135" s="1228"/>
      <c r="FW135" s="1228"/>
      <c r="FX135" s="1229"/>
      <c r="FY135" s="1229"/>
      <c r="FZ135" s="1148"/>
    </row>
    <row r="136" spans="155:182" s="1149" customFormat="1" x14ac:dyDescent="0.25">
      <c r="EY136" s="1147"/>
      <c r="EZ136" s="1147"/>
      <c r="FA136" s="1147"/>
      <c r="FB136" s="1228"/>
      <c r="FC136" s="1228"/>
      <c r="FD136" s="1228"/>
      <c r="FE136" s="1104">
        <v>42293</v>
      </c>
      <c r="FF136" s="1055">
        <v>1</v>
      </c>
      <c r="FG136" s="1055">
        <v>71.281000000000006</v>
      </c>
      <c r="FH136" s="1228"/>
      <c r="FI136" s="1228"/>
      <c r="FJ136" s="1228"/>
      <c r="FK136" s="1228"/>
      <c r="FL136" s="1228"/>
      <c r="FM136" s="1228"/>
      <c r="FN136" s="1228"/>
      <c r="FO136" s="1228"/>
      <c r="FP136" s="1228"/>
      <c r="FQ136" s="1228"/>
      <c r="FR136" s="1228"/>
      <c r="FS136" s="1228"/>
      <c r="FT136" s="1228"/>
      <c r="FU136" s="1228"/>
      <c r="FV136" s="1228"/>
      <c r="FW136" s="1228"/>
      <c r="FX136" s="1229"/>
      <c r="FY136" s="1229"/>
      <c r="FZ136" s="1148"/>
    </row>
    <row r="137" spans="155:182" s="1149" customFormat="1" x14ac:dyDescent="0.25">
      <c r="EY137" s="1147"/>
      <c r="EZ137" s="1147"/>
      <c r="FA137" s="1147"/>
      <c r="FB137" s="1228"/>
      <c r="FC137" s="1228"/>
      <c r="FD137" s="1228"/>
      <c r="FE137" s="1104">
        <v>42294</v>
      </c>
      <c r="FF137" s="1055">
        <v>1</v>
      </c>
      <c r="FG137" s="1055">
        <v>69.771000000000001</v>
      </c>
      <c r="FH137" s="1228"/>
      <c r="FI137" s="1228"/>
      <c r="FJ137" s="1228"/>
      <c r="FK137" s="1228"/>
      <c r="FL137" s="1228"/>
      <c r="FM137" s="1228"/>
      <c r="FN137" s="1228"/>
      <c r="FO137" s="1228"/>
      <c r="FP137" s="1228"/>
      <c r="FQ137" s="1228"/>
      <c r="FR137" s="1228"/>
      <c r="FS137" s="1228"/>
      <c r="FT137" s="1228"/>
      <c r="FU137" s="1228"/>
      <c r="FV137" s="1228"/>
      <c r="FW137" s="1228"/>
      <c r="FX137" s="1229"/>
      <c r="FY137" s="1229"/>
      <c r="FZ137" s="1148"/>
    </row>
    <row r="138" spans="155:182" s="1149" customFormat="1" x14ac:dyDescent="0.25">
      <c r="EY138" s="1147"/>
      <c r="EZ138" s="1147"/>
      <c r="FA138" s="1147"/>
      <c r="FB138" s="1228"/>
      <c r="FC138" s="1228"/>
      <c r="FD138" s="1228"/>
      <c r="FE138" s="1104">
        <v>42297</v>
      </c>
      <c r="FF138" s="1055">
        <v>1</v>
      </c>
      <c r="FG138" s="1055">
        <v>69.779600000000002</v>
      </c>
      <c r="FH138" s="1228"/>
      <c r="FI138" s="1228"/>
      <c r="FJ138" s="1228"/>
      <c r="FK138" s="1228"/>
      <c r="FL138" s="1228"/>
      <c r="FM138" s="1228"/>
      <c r="FN138" s="1228"/>
      <c r="FO138" s="1228"/>
      <c r="FP138" s="1228"/>
      <c r="FQ138" s="1228"/>
      <c r="FR138" s="1228"/>
      <c r="FS138" s="1228"/>
      <c r="FT138" s="1228"/>
      <c r="FU138" s="1228"/>
      <c r="FV138" s="1228"/>
      <c r="FW138" s="1228"/>
      <c r="FX138" s="1229"/>
      <c r="FY138" s="1229"/>
      <c r="FZ138" s="1148"/>
    </row>
    <row r="139" spans="155:182" s="1149" customFormat="1" x14ac:dyDescent="0.25">
      <c r="EY139" s="1147"/>
      <c r="EZ139" s="1147"/>
      <c r="FA139" s="1147"/>
      <c r="FB139" s="1228"/>
      <c r="FC139" s="1228"/>
      <c r="FD139" s="1228"/>
      <c r="FE139" s="1104">
        <v>42298</v>
      </c>
      <c r="FF139" s="1055">
        <v>1</v>
      </c>
      <c r="FG139" s="1055">
        <v>70.528999999999996</v>
      </c>
      <c r="FH139" s="1228"/>
      <c r="FI139" s="1228"/>
      <c r="FJ139" s="1228"/>
      <c r="FK139" s="1228"/>
      <c r="FL139" s="1228"/>
      <c r="FM139" s="1228"/>
      <c r="FN139" s="1228"/>
      <c r="FO139" s="1228"/>
      <c r="FP139" s="1228"/>
      <c r="FQ139" s="1228"/>
      <c r="FR139" s="1228"/>
      <c r="FS139" s="1228"/>
      <c r="FT139" s="1228"/>
      <c r="FU139" s="1228"/>
      <c r="FV139" s="1228"/>
      <c r="FW139" s="1228"/>
      <c r="FX139" s="1229"/>
      <c r="FY139" s="1229"/>
      <c r="FZ139" s="1148"/>
    </row>
    <row r="140" spans="155:182" s="1149" customFormat="1" x14ac:dyDescent="0.25">
      <c r="EY140" s="1147"/>
      <c r="EZ140" s="1147"/>
      <c r="FA140" s="1147"/>
      <c r="FB140" s="1228"/>
      <c r="FC140" s="1228"/>
      <c r="FD140" s="1228"/>
      <c r="FE140" s="1104">
        <v>42299</v>
      </c>
      <c r="FF140" s="1055">
        <v>1</v>
      </c>
      <c r="FG140" s="1055">
        <v>71.1738</v>
      </c>
      <c r="FH140" s="1228"/>
      <c r="FI140" s="1228"/>
      <c r="FJ140" s="1228"/>
      <c r="FK140" s="1228"/>
      <c r="FL140" s="1228"/>
      <c r="FM140" s="1228"/>
      <c r="FN140" s="1228"/>
      <c r="FO140" s="1228"/>
      <c r="FP140" s="1228"/>
      <c r="FQ140" s="1228"/>
      <c r="FR140" s="1228"/>
      <c r="FS140" s="1228"/>
      <c r="FT140" s="1228"/>
      <c r="FU140" s="1228"/>
      <c r="FV140" s="1228"/>
      <c r="FW140" s="1228"/>
      <c r="FX140" s="1229"/>
      <c r="FY140" s="1229"/>
      <c r="FZ140" s="1148"/>
    </row>
    <row r="141" spans="155:182" s="1149" customFormat="1" x14ac:dyDescent="0.25">
      <c r="EY141" s="1147"/>
      <c r="EZ141" s="1147"/>
      <c r="FA141" s="1147"/>
      <c r="FB141" s="1228"/>
      <c r="FC141" s="1228"/>
      <c r="FD141" s="1228"/>
      <c r="FE141" s="1104">
        <v>42300</v>
      </c>
      <c r="FF141" s="1055">
        <v>1</v>
      </c>
      <c r="FG141" s="1055">
        <v>71.089500000000001</v>
      </c>
      <c r="FH141" s="1228"/>
      <c r="FI141" s="1228"/>
      <c r="FJ141" s="1228"/>
      <c r="FK141" s="1228"/>
      <c r="FL141" s="1228"/>
      <c r="FM141" s="1228"/>
      <c r="FN141" s="1228"/>
      <c r="FO141" s="1228"/>
      <c r="FP141" s="1228"/>
      <c r="FQ141" s="1228"/>
      <c r="FR141" s="1228"/>
      <c r="FS141" s="1228"/>
      <c r="FT141" s="1228"/>
      <c r="FU141" s="1228"/>
      <c r="FV141" s="1228"/>
      <c r="FW141" s="1228"/>
      <c r="FX141" s="1229"/>
      <c r="FY141" s="1229"/>
      <c r="FZ141" s="1148"/>
    </row>
    <row r="142" spans="155:182" s="1149" customFormat="1" x14ac:dyDescent="0.25">
      <c r="EY142" s="1147"/>
      <c r="EZ142" s="1147"/>
      <c r="FA142" s="1147"/>
      <c r="FB142" s="1228"/>
      <c r="FC142" s="1228"/>
      <c r="FD142" s="1228"/>
      <c r="FE142" s="1104">
        <v>42301</v>
      </c>
      <c r="FF142" s="1055">
        <v>1</v>
      </c>
      <c r="FG142" s="1055">
        <v>68.790300000000002</v>
      </c>
      <c r="FH142" s="1228"/>
      <c r="FI142" s="1228"/>
      <c r="FJ142" s="1228"/>
      <c r="FK142" s="1228"/>
      <c r="FL142" s="1228"/>
      <c r="FM142" s="1228"/>
      <c r="FN142" s="1228"/>
      <c r="FO142" s="1228"/>
      <c r="FP142" s="1228"/>
      <c r="FQ142" s="1228"/>
      <c r="FR142" s="1228"/>
      <c r="FS142" s="1228"/>
      <c r="FT142" s="1228"/>
      <c r="FU142" s="1228"/>
      <c r="FV142" s="1228"/>
      <c r="FW142" s="1228"/>
      <c r="FX142" s="1229"/>
      <c r="FY142" s="1229"/>
      <c r="FZ142" s="1148"/>
    </row>
    <row r="143" spans="155:182" s="1149" customFormat="1" x14ac:dyDescent="0.25">
      <c r="EY143" s="1147"/>
      <c r="EZ143" s="1147"/>
      <c r="FA143" s="1147"/>
      <c r="FB143" s="1228"/>
      <c r="FC143" s="1228"/>
      <c r="FD143" s="1228"/>
      <c r="FE143" s="1104">
        <v>42304</v>
      </c>
      <c r="FF143" s="1055">
        <v>1</v>
      </c>
      <c r="FG143" s="1055">
        <v>69.010400000000004</v>
      </c>
      <c r="FH143" s="1228"/>
      <c r="FI143" s="1228"/>
      <c r="FJ143" s="1228"/>
      <c r="FK143" s="1228"/>
      <c r="FL143" s="1228"/>
      <c r="FM143" s="1228"/>
      <c r="FN143" s="1228"/>
      <c r="FO143" s="1228"/>
      <c r="FP143" s="1228"/>
      <c r="FQ143" s="1228"/>
      <c r="FR143" s="1228"/>
      <c r="FS143" s="1228"/>
      <c r="FT143" s="1228"/>
      <c r="FU143" s="1228"/>
      <c r="FV143" s="1228"/>
      <c r="FW143" s="1228"/>
      <c r="FX143" s="1229"/>
      <c r="FY143" s="1229"/>
      <c r="FZ143" s="1148"/>
    </row>
    <row r="144" spans="155:182" s="1149" customFormat="1" x14ac:dyDescent="0.25">
      <c r="EY144" s="1147"/>
      <c r="EZ144" s="1147"/>
      <c r="FA144" s="1147"/>
      <c r="FB144" s="1228"/>
      <c r="FC144" s="1228"/>
      <c r="FD144" s="1228"/>
      <c r="FE144" s="1104">
        <v>42305</v>
      </c>
      <c r="FF144" s="1055">
        <v>1</v>
      </c>
      <c r="FG144" s="1055">
        <v>70.212400000000002</v>
      </c>
      <c r="FH144" s="1228"/>
      <c r="FI144" s="1228"/>
      <c r="FJ144" s="1228"/>
      <c r="FK144" s="1228"/>
      <c r="FL144" s="1228"/>
      <c r="FM144" s="1228"/>
      <c r="FN144" s="1228"/>
      <c r="FO144" s="1228"/>
      <c r="FP144" s="1228"/>
      <c r="FQ144" s="1228"/>
      <c r="FR144" s="1228"/>
      <c r="FS144" s="1228"/>
      <c r="FT144" s="1228"/>
      <c r="FU144" s="1228"/>
      <c r="FV144" s="1228"/>
      <c r="FW144" s="1228"/>
      <c r="FX144" s="1229"/>
      <c r="FY144" s="1229"/>
      <c r="FZ144" s="1148"/>
    </row>
    <row r="145" spans="155:182" s="1149" customFormat="1" x14ac:dyDescent="0.25">
      <c r="EY145" s="1147"/>
      <c r="EZ145" s="1147"/>
      <c r="FA145" s="1147"/>
      <c r="FB145" s="1228"/>
      <c r="FC145" s="1228"/>
      <c r="FD145" s="1228"/>
      <c r="FE145" s="1104">
        <v>42306</v>
      </c>
      <c r="FF145" s="1055">
        <v>1</v>
      </c>
      <c r="FG145" s="1055">
        <v>72.147900000000007</v>
      </c>
      <c r="FH145" s="1228"/>
      <c r="FI145" s="1228"/>
      <c r="FJ145" s="1228"/>
      <c r="FK145" s="1228"/>
      <c r="FL145" s="1228"/>
      <c r="FM145" s="1228"/>
      <c r="FN145" s="1228"/>
      <c r="FO145" s="1228"/>
      <c r="FP145" s="1228"/>
      <c r="FQ145" s="1228"/>
      <c r="FR145" s="1228"/>
      <c r="FS145" s="1228"/>
      <c r="FT145" s="1228"/>
      <c r="FU145" s="1228"/>
      <c r="FV145" s="1228"/>
      <c r="FW145" s="1228"/>
      <c r="FX145" s="1229"/>
      <c r="FY145" s="1229"/>
      <c r="FZ145" s="1148"/>
    </row>
    <row r="146" spans="155:182" s="1149" customFormat="1" x14ac:dyDescent="0.25">
      <c r="EY146" s="1147"/>
      <c r="EZ146" s="1147"/>
      <c r="FA146" s="1147"/>
      <c r="FB146" s="1228"/>
      <c r="FC146" s="1228"/>
      <c r="FD146" s="1228"/>
      <c r="FE146" s="1104">
        <v>42307</v>
      </c>
      <c r="FF146" s="1055">
        <v>1</v>
      </c>
      <c r="FG146" s="1055">
        <v>70.142700000000005</v>
      </c>
      <c r="FH146" s="1228"/>
      <c r="FI146" s="1228"/>
      <c r="FJ146" s="1228"/>
      <c r="FK146" s="1228"/>
      <c r="FL146" s="1228"/>
      <c r="FM146" s="1228"/>
      <c r="FN146" s="1228"/>
      <c r="FO146" s="1228"/>
      <c r="FP146" s="1228"/>
      <c r="FQ146" s="1228"/>
      <c r="FR146" s="1228"/>
      <c r="FS146" s="1228"/>
      <c r="FT146" s="1228"/>
      <c r="FU146" s="1228"/>
      <c r="FV146" s="1228"/>
      <c r="FW146" s="1228"/>
      <c r="FX146" s="1229"/>
      <c r="FY146" s="1229"/>
      <c r="FZ146" s="1148"/>
    </row>
    <row r="147" spans="155:182" s="1149" customFormat="1" x14ac:dyDescent="0.25">
      <c r="EY147" s="1147"/>
      <c r="EZ147" s="1147"/>
      <c r="FA147" s="1147"/>
      <c r="FB147" s="1228"/>
      <c r="FC147" s="1228"/>
      <c r="FD147" s="1228"/>
      <c r="FE147" s="1104">
        <v>42308</v>
      </c>
      <c r="FF147" s="1055">
        <v>1</v>
      </c>
      <c r="FG147" s="1055">
        <v>70.753699999999995</v>
      </c>
      <c r="FH147" s="1228"/>
      <c r="FI147" s="1228"/>
      <c r="FJ147" s="1228"/>
      <c r="FK147" s="1228"/>
      <c r="FL147" s="1228"/>
      <c r="FM147" s="1228"/>
      <c r="FN147" s="1228"/>
      <c r="FO147" s="1228"/>
      <c r="FP147" s="1228"/>
      <c r="FQ147" s="1228"/>
      <c r="FR147" s="1228"/>
      <c r="FS147" s="1228"/>
      <c r="FT147" s="1228"/>
      <c r="FU147" s="1228"/>
      <c r="FV147" s="1228"/>
      <c r="FW147" s="1228"/>
      <c r="FX147" s="1229"/>
      <c r="FY147" s="1229"/>
      <c r="FZ147" s="1148"/>
    </row>
    <row r="148" spans="155:182" s="1149" customFormat="1" x14ac:dyDescent="0.25">
      <c r="EY148" s="1147"/>
      <c r="EZ148" s="1147"/>
      <c r="FA148" s="1147"/>
      <c r="FB148" s="1228"/>
      <c r="FC148" s="1228"/>
      <c r="FD148" s="1228"/>
      <c r="FE148" s="1104">
        <v>42311</v>
      </c>
      <c r="FF148" s="1055">
        <v>1</v>
      </c>
      <c r="FG148" s="1055">
        <v>70.396100000000004</v>
      </c>
      <c r="FH148" s="1228"/>
      <c r="FI148" s="1228"/>
      <c r="FJ148" s="1228"/>
      <c r="FK148" s="1228"/>
      <c r="FL148" s="1228"/>
      <c r="FM148" s="1228"/>
      <c r="FN148" s="1228"/>
      <c r="FO148" s="1228"/>
      <c r="FP148" s="1228"/>
      <c r="FQ148" s="1228"/>
      <c r="FR148" s="1228"/>
      <c r="FS148" s="1228"/>
      <c r="FT148" s="1228"/>
      <c r="FU148" s="1228"/>
      <c r="FV148" s="1228"/>
      <c r="FW148" s="1228"/>
      <c r="FX148" s="1229"/>
      <c r="FY148" s="1229"/>
      <c r="FZ148" s="1148"/>
    </row>
    <row r="149" spans="155:182" s="1149" customFormat="1" x14ac:dyDescent="0.25">
      <c r="EY149" s="1147"/>
      <c r="EZ149" s="1147"/>
      <c r="FA149" s="1147"/>
      <c r="FB149" s="1228"/>
      <c r="FC149" s="1228"/>
      <c r="FD149" s="1228"/>
      <c r="FE149" s="1104">
        <v>42312</v>
      </c>
      <c r="FF149" s="1055">
        <v>1</v>
      </c>
      <c r="FG149" s="1055">
        <v>70.378200000000007</v>
      </c>
      <c r="FH149" s="1228"/>
      <c r="FI149" s="1228"/>
      <c r="FJ149" s="1228"/>
      <c r="FK149" s="1228"/>
      <c r="FL149" s="1228"/>
      <c r="FM149" s="1228"/>
      <c r="FN149" s="1228"/>
      <c r="FO149" s="1228"/>
      <c r="FP149" s="1228"/>
      <c r="FQ149" s="1228"/>
      <c r="FR149" s="1228"/>
      <c r="FS149" s="1228"/>
      <c r="FT149" s="1228"/>
      <c r="FU149" s="1228"/>
      <c r="FV149" s="1228"/>
      <c r="FW149" s="1228"/>
      <c r="FX149" s="1229"/>
      <c r="FY149" s="1229"/>
      <c r="FZ149" s="1148"/>
    </row>
    <row r="150" spans="155:182" s="1149" customFormat="1" x14ac:dyDescent="0.25">
      <c r="EY150" s="1147"/>
      <c r="EZ150" s="1147"/>
      <c r="FA150" s="1147"/>
      <c r="FB150" s="1228"/>
      <c r="FC150" s="1228"/>
      <c r="FD150" s="1228"/>
      <c r="FE150" s="1104">
        <v>42314</v>
      </c>
      <c r="FF150" s="1055">
        <v>1</v>
      </c>
      <c r="FG150" s="1055">
        <v>68.826099999999997</v>
      </c>
      <c r="FH150" s="1228"/>
      <c r="FI150" s="1228"/>
      <c r="FJ150" s="1228"/>
      <c r="FK150" s="1228"/>
      <c r="FL150" s="1228"/>
      <c r="FM150" s="1228"/>
      <c r="FN150" s="1228"/>
      <c r="FO150" s="1228"/>
      <c r="FP150" s="1228"/>
      <c r="FQ150" s="1228"/>
      <c r="FR150" s="1228"/>
      <c r="FS150" s="1228"/>
      <c r="FT150" s="1228"/>
      <c r="FU150" s="1228"/>
      <c r="FV150" s="1228"/>
      <c r="FW150" s="1228"/>
      <c r="FX150" s="1229"/>
      <c r="FY150" s="1229"/>
      <c r="FZ150" s="1148"/>
    </row>
    <row r="151" spans="155:182" s="1149" customFormat="1" x14ac:dyDescent="0.25">
      <c r="EY151" s="1147"/>
      <c r="EZ151" s="1147"/>
      <c r="FA151" s="1147"/>
      <c r="FB151" s="1228"/>
      <c r="FC151" s="1228"/>
      <c r="FD151" s="1228"/>
      <c r="FE151" s="1104">
        <v>42315</v>
      </c>
      <c r="FF151" s="1055">
        <v>1</v>
      </c>
      <c r="FG151" s="1055">
        <v>69.255499999999998</v>
      </c>
      <c r="FH151" s="1228"/>
      <c r="FI151" s="1228"/>
      <c r="FJ151" s="1228"/>
      <c r="FK151" s="1228"/>
      <c r="FL151" s="1228"/>
      <c r="FM151" s="1228"/>
      <c r="FN151" s="1228"/>
      <c r="FO151" s="1228"/>
      <c r="FP151" s="1228"/>
      <c r="FQ151" s="1228"/>
      <c r="FR151" s="1228"/>
      <c r="FS151" s="1228"/>
      <c r="FT151" s="1228"/>
      <c r="FU151" s="1228"/>
      <c r="FV151" s="1228"/>
      <c r="FW151" s="1228"/>
      <c r="FX151" s="1229"/>
      <c r="FY151" s="1229"/>
      <c r="FZ151" s="1148"/>
    </row>
    <row r="152" spans="155:182" s="1149" customFormat="1" x14ac:dyDescent="0.25">
      <c r="EY152" s="1147"/>
      <c r="EZ152" s="1147"/>
      <c r="FA152" s="1147"/>
      <c r="FB152" s="1228"/>
      <c r="FC152" s="1228"/>
      <c r="FD152" s="1228"/>
      <c r="FE152" s="1104">
        <v>42318</v>
      </c>
      <c r="FF152" s="1055">
        <v>1</v>
      </c>
      <c r="FG152" s="1055">
        <v>69.613600000000005</v>
      </c>
      <c r="FH152" s="1228"/>
      <c r="FI152" s="1228"/>
      <c r="FJ152" s="1228"/>
      <c r="FK152" s="1228"/>
      <c r="FL152" s="1228"/>
      <c r="FM152" s="1228"/>
      <c r="FN152" s="1228"/>
      <c r="FO152" s="1228"/>
      <c r="FP152" s="1228"/>
      <c r="FQ152" s="1228"/>
      <c r="FR152" s="1228"/>
      <c r="FS152" s="1228"/>
      <c r="FT152" s="1228"/>
      <c r="FU152" s="1228"/>
      <c r="FV152" s="1228"/>
      <c r="FW152" s="1228"/>
      <c r="FX152" s="1229"/>
      <c r="FY152" s="1229"/>
      <c r="FZ152" s="1148"/>
    </row>
    <row r="153" spans="155:182" s="1149" customFormat="1" x14ac:dyDescent="0.25">
      <c r="EY153" s="1147"/>
      <c r="EZ153" s="1147"/>
      <c r="FA153" s="1147"/>
      <c r="FB153" s="1228"/>
      <c r="FC153" s="1228"/>
      <c r="FD153" s="1228"/>
      <c r="FE153" s="1104">
        <v>42319</v>
      </c>
      <c r="FF153" s="1055">
        <v>1</v>
      </c>
      <c r="FG153" s="1055">
        <v>69.239400000000003</v>
      </c>
      <c r="FH153" s="1228"/>
      <c r="FI153" s="1228"/>
      <c r="FJ153" s="1228"/>
      <c r="FK153" s="1228"/>
      <c r="FL153" s="1228"/>
      <c r="FM153" s="1228"/>
      <c r="FN153" s="1228"/>
      <c r="FO153" s="1228"/>
      <c r="FP153" s="1228"/>
      <c r="FQ153" s="1228"/>
      <c r="FR153" s="1228"/>
      <c r="FS153" s="1228"/>
      <c r="FT153" s="1228"/>
      <c r="FU153" s="1228"/>
      <c r="FV153" s="1228"/>
      <c r="FW153" s="1228"/>
      <c r="FX153" s="1229"/>
      <c r="FY153" s="1229"/>
      <c r="FZ153" s="1148"/>
    </row>
    <row r="154" spans="155:182" s="1149" customFormat="1" x14ac:dyDescent="0.25">
      <c r="EY154" s="1147"/>
      <c r="EZ154" s="1147"/>
      <c r="FA154" s="1147"/>
      <c r="FB154" s="1228"/>
      <c r="FC154" s="1228"/>
      <c r="FD154" s="1228"/>
      <c r="FE154" s="1104">
        <v>42320</v>
      </c>
      <c r="FF154" s="1055">
        <v>1</v>
      </c>
      <c r="FG154" s="1055">
        <v>69.3797</v>
      </c>
      <c r="FH154" s="1228"/>
      <c r="FI154" s="1228"/>
      <c r="FJ154" s="1228"/>
      <c r="FK154" s="1228"/>
      <c r="FL154" s="1228"/>
      <c r="FM154" s="1228"/>
      <c r="FN154" s="1228"/>
      <c r="FO154" s="1228"/>
      <c r="FP154" s="1228"/>
      <c r="FQ154" s="1228"/>
      <c r="FR154" s="1228"/>
      <c r="FS154" s="1228"/>
      <c r="FT154" s="1228"/>
      <c r="FU154" s="1228"/>
      <c r="FV154" s="1228"/>
      <c r="FW154" s="1228"/>
      <c r="FX154" s="1229"/>
      <c r="FY154" s="1229"/>
      <c r="FZ154" s="1148"/>
    </row>
    <row r="155" spans="155:182" s="1149" customFormat="1" x14ac:dyDescent="0.25">
      <c r="EY155" s="1147"/>
      <c r="EZ155" s="1147"/>
      <c r="FA155" s="1147"/>
      <c r="FB155" s="1228"/>
      <c r="FC155" s="1228"/>
      <c r="FD155" s="1228"/>
      <c r="FE155" s="1104">
        <v>42321</v>
      </c>
      <c r="FF155" s="1055">
        <v>1</v>
      </c>
      <c r="FG155" s="1055">
        <v>70.337000000000003</v>
      </c>
      <c r="FH155" s="1228"/>
      <c r="FI155" s="1228"/>
      <c r="FJ155" s="1228"/>
      <c r="FK155" s="1228"/>
      <c r="FL155" s="1228"/>
      <c r="FM155" s="1228"/>
      <c r="FN155" s="1228"/>
      <c r="FO155" s="1228"/>
      <c r="FP155" s="1228"/>
      <c r="FQ155" s="1228"/>
      <c r="FR155" s="1228"/>
      <c r="FS155" s="1228"/>
      <c r="FT155" s="1228"/>
      <c r="FU155" s="1228"/>
      <c r="FV155" s="1228"/>
      <c r="FW155" s="1228"/>
      <c r="FX155" s="1229"/>
      <c r="FY155" s="1229"/>
      <c r="FZ155" s="1148"/>
    </row>
    <row r="156" spans="155:182" s="1149" customFormat="1" x14ac:dyDescent="0.25">
      <c r="EY156" s="1147"/>
      <c r="EZ156" s="1147"/>
      <c r="FA156" s="1147"/>
      <c r="FB156" s="1228"/>
      <c r="FC156" s="1228"/>
      <c r="FD156" s="1228"/>
      <c r="FE156" s="1104">
        <v>42322</v>
      </c>
      <c r="FF156" s="1055">
        <v>1</v>
      </c>
      <c r="FG156" s="1055">
        <v>71.818399999999997</v>
      </c>
      <c r="FH156" s="1228"/>
      <c r="FI156" s="1228"/>
      <c r="FJ156" s="1228"/>
      <c r="FK156" s="1228"/>
      <c r="FL156" s="1228"/>
      <c r="FM156" s="1228"/>
      <c r="FN156" s="1228"/>
      <c r="FO156" s="1228"/>
      <c r="FP156" s="1228"/>
      <c r="FQ156" s="1228"/>
      <c r="FR156" s="1228"/>
      <c r="FS156" s="1228"/>
      <c r="FT156" s="1228"/>
      <c r="FU156" s="1228"/>
      <c r="FV156" s="1228"/>
      <c r="FW156" s="1228"/>
      <c r="FX156" s="1229"/>
      <c r="FY156" s="1229"/>
      <c r="FZ156" s="1148"/>
    </row>
    <row r="157" spans="155:182" s="1149" customFormat="1" x14ac:dyDescent="0.25">
      <c r="EY157" s="1147"/>
      <c r="EZ157" s="1147"/>
      <c r="FA157" s="1147"/>
      <c r="FB157" s="1228"/>
      <c r="FC157" s="1228"/>
      <c r="FD157" s="1228"/>
      <c r="FE157" s="1104">
        <v>42325</v>
      </c>
      <c r="FF157" s="1055">
        <v>1</v>
      </c>
      <c r="FG157" s="1055">
        <v>71.398700000000005</v>
      </c>
      <c r="FH157" s="1228"/>
      <c r="FI157" s="1228"/>
      <c r="FJ157" s="1228"/>
      <c r="FK157" s="1228"/>
      <c r="FL157" s="1228"/>
      <c r="FM157" s="1228"/>
      <c r="FN157" s="1228"/>
      <c r="FO157" s="1228"/>
      <c r="FP157" s="1228"/>
      <c r="FQ157" s="1228"/>
      <c r="FR157" s="1228"/>
      <c r="FS157" s="1228"/>
      <c r="FT157" s="1228"/>
      <c r="FU157" s="1228"/>
      <c r="FV157" s="1228"/>
      <c r="FW157" s="1228"/>
      <c r="FX157" s="1229"/>
      <c r="FY157" s="1229"/>
      <c r="FZ157" s="1148"/>
    </row>
    <row r="158" spans="155:182" s="1149" customFormat="1" x14ac:dyDescent="0.25">
      <c r="EY158" s="1147"/>
      <c r="EZ158" s="1147"/>
      <c r="FA158" s="1147"/>
      <c r="FB158" s="1228"/>
      <c r="FC158" s="1228"/>
      <c r="FD158" s="1228"/>
      <c r="FE158" s="1104">
        <v>42326</v>
      </c>
      <c r="FF158" s="1055">
        <v>1</v>
      </c>
      <c r="FG158" s="1055">
        <v>69.781899999999993</v>
      </c>
      <c r="FH158" s="1228"/>
      <c r="FI158" s="1228"/>
      <c r="FJ158" s="1228"/>
      <c r="FK158" s="1228"/>
      <c r="FL158" s="1228"/>
      <c r="FM158" s="1228"/>
      <c r="FN158" s="1228"/>
      <c r="FO158" s="1228"/>
      <c r="FP158" s="1228"/>
      <c r="FQ158" s="1228"/>
      <c r="FR158" s="1228"/>
      <c r="FS158" s="1228"/>
      <c r="FT158" s="1228"/>
      <c r="FU158" s="1228"/>
      <c r="FV158" s="1228"/>
      <c r="FW158" s="1228"/>
      <c r="FX158" s="1229"/>
      <c r="FY158" s="1229"/>
      <c r="FZ158" s="1148"/>
    </row>
    <row r="159" spans="155:182" s="1149" customFormat="1" x14ac:dyDescent="0.25">
      <c r="EY159" s="1147"/>
      <c r="EZ159" s="1147"/>
      <c r="FA159" s="1147"/>
      <c r="FB159" s="1228"/>
      <c r="FC159" s="1228"/>
      <c r="FD159" s="1228"/>
      <c r="FE159" s="1104">
        <v>42327</v>
      </c>
      <c r="FF159" s="1055">
        <v>1</v>
      </c>
      <c r="FG159" s="1055">
        <v>69.002099999999999</v>
      </c>
      <c r="FH159" s="1228"/>
      <c r="FI159" s="1228"/>
      <c r="FJ159" s="1228"/>
      <c r="FK159" s="1228"/>
      <c r="FL159" s="1228"/>
      <c r="FM159" s="1228"/>
      <c r="FN159" s="1228"/>
      <c r="FO159" s="1228"/>
      <c r="FP159" s="1228"/>
      <c r="FQ159" s="1228"/>
      <c r="FR159" s="1228"/>
      <c r="FS159" s="1228"/>
      <c r="FT159" s="1228"/>
      <c r="FU159" s="1228"/>
      <c r="FV159" s="1228"/>
      <c r="FW159" s="1228"/>
      <c r="FX159" s="1229"/>
      <c r="FY159" s="1229"/>
      <c r="FZ159" s="1148"/>
    </row>
    <row r="160" spans="155:182" s="1149" customFormat="1" x14ac:dyDescent="0.25">
      <c r="EY160" s="1147"/>
      <c r="EZ160" s="1147"/>
      <c r="FA160" s="1147"/>
      <c r="FB160" s="1228"/>
      <c r="FC160" s="1228"/>
      <c r="FD160" s="1228"/>
      <c r="FE160" s="1104">
        <v>42328</v>
      </c>
      <c r="FF160" s="1055">
        <v>1</v>
      </c>
      <c r="FG160" s="1055">
        <v>69.338999999999999</v>
      </c>
      <c r="FH160" s="1228"/>
      <c r="FI160" s="1228"/>
      <c r="FJ160" s="1228"/>
      <c r="FK160" s="1228"/>
      <c r="FL160" s="1228"/>
      <c r="FM160" s="1228"/>
      <c r="FN160" s="1228"/>
      <c r="FO160" s="1228"/>
      <c r="FP160" s="1228"/>
      <c r="FQ160" s="1228"/>
      <c r="FR160" s="1228"/>
      <c r="FS160" s="1228"/>
      <c r="FT160" s="1228"/>
      <c r="FU160" s="1228"/>
      <c r="FV160" s="1228"/>
      <c r="FW160" s="1228"/>
      <c r="FX160" s="1229"/>
      <c r="FY160" s="1229"/>
      <c r="FZ160" s="1148"/>
    </row>
    <row r="161" spans="155:182" s="1149" customFormat="1" x14ac:dyDescent="0.25">
      <c r="EY161" s="1147"/>
      <c r="EZ161" s="1147"/>
      <c r="FA161" s="1147"/>
      <c r="FB161" s="1228"/>
      <c r="FC161" s="1228"/>
      <c r="FD161" s="1228"/>
      <c r="FE161" s="1104">
        <v>42329</v>
      </c>
      <c r="FF161" s="1055">
        <v>1</v>
      </c>
      <c r="FG161" s="1055">
        <v>69.388599999999997</v>
      </c>
      <c r="FH161" s="1228"/>
      <c r="FI161" s="1228"/>
      <c r="FJ161" s="1228"/>
      <c r="FK161" s="1228"/>
      <c r="FL161" s="1228"/>
      <c r="FM161" s="1228"/>
      <c r="FN161" s="1228"/>
      <c r="FO161" s="1228"/>
      <c r="FP161" s="1228"/>
      <c r="FQ161" s="1228"/>
      <c r="FR161" s="1228"/>
      <c r="FS161" s="1228"/>
      <c r="FT161" s="1228"/>
      <c r="FU161" s="1228"/>
      <c r="FV161" s="1228"/>
      <c r="FW161" s="1228"/>
      <c r="FX161" s="1229"/>
      <c r="FY161" s="1229"/>
      <c r="FZ161" s="1148"/>
    </row>
    <row r="162" spans="155:182" s="1149" customFormat="1" x14ac:dyDescent="0.25">
      <c r="EY162" s="1147"/>
      <c r="EZ162" s="1147"/>
      <c r="FA162" s="1147"/>
      <c r="FB162" s="1228"/>
      <c r="FC162" s="1228"/>
      <c r="FD162" s="1228"/>
      <c r="FE162" s="1104">
        <v>42332</v>
      </c>
      <c r="FF162" s="1055">
        <v>1</v>
      </c>
      <c r="FG162" s="1055">
        <v>69.703699999999998</v>
      </c>
      <c r="FH162" s="1228"/>
      <c r="FI162" s="1228"/>
      <c r="FJ162" s="1228"/>
      <c r="FK162" s="1228"/>
      <c r="FL162" s="1228"/>
      <c r="FM162" s="1228"/>
      <c r="FN162" s="1228"/>
      <c r="FO162" s="1228"/>
      <c r="FP162" s="1228"/>
      <c r="FQ162" s="1228"/>
      <c r="FR162" s="1228"/>
      <c r="FS162" s="1228"/>
      <c r="FT162" s="1228"/>
      <c r="FU162" s="1228"/>
      <c r="FV162" s="1228"/>
      <c r="FW162" s="1228"/>
      <c r="FX162" s="1229"/>
      <c r="FY162" s="1229"/>
      <c r="FZ162" s="1148"/>
    </row>
    <row r="163" spans="155:182" s="1149" customFormat="1" x14ac:dyDescent="0.25">
      <c r="EY163" s="1147"/>
      <c r="EZ163" s="1147"/>
      <c r="FA163" s="1147"/>
      <c r="FB163" s="1228"/>
      <c r="FC163" s="1228"/>
      <c r="FD163" s="1228"/>
      <c r="FE163" s="1104">
        <v>42333</v>
      </c>
      <c r="FF163" s="1055">
        <v>1</v>
      </c>
      <c r="FG163" s="1055">
        <v>69.807599999999994</v>
      </c>
      <c r="FH163" s="1228"/>
      <c r="FI163" s="1228"/>
      <c r="FJ163" s="1228"/>
      <c r="FK163" s="1228"/>
      <c r="FL163" s="1228"/>
      <c r="FM163" s="1228"/>
      <c r="FN163" s="1228"/>
      <c r="FO163" s="1228"/>
      <c r="FP163" s="1228"/>
      <c r="FQ163" s="1228"/>
      <c r="FR163" s="1228"/>
      <c r="FS163" s="1228"/>
      <c r="FT163" s="1228"/>
      <c r="FU163" s="1228"/>
      <c r="FV163" s="1228"/>
      <c r="FW163" s="1228"/>
      <c r="FX163" s="1229"/>
      <c r="FY163" s="1229"/>
      <c r="FZ163" s="1148"/>
    </row>
    <row r="164" spans="155:182" s="1149" customFormat="1" x14ac:dyDescent="0.25">
      <c r="EY164" s="1147"/>
      <c r="EZ164" s="1147"/>
      <c r="FA164" s="1147"/>
      <c r="FB164" s="1228"/>
      <c r="FC164" s="1228"/>
      <c r="FD164" s="1228"/>
      <c r="FE164" s="1104">
        <v>42334</v>
      </c>
      <c r="FF164" s="1055">
        <v>1</v>
      </c>
      <c r="FG164" s="1055">
        <v>69.898700000000005</v>
      </c>
      <c r="FH164" s="1228"/>
      <c r="FI164" s="1228"/>
      <c r="FJ164" s="1228"/>
      <c r="FK164" s="1228"/>
      <c r="FL164" s="1228"/>
      <c r="FM164" s="1228"/>
      <c r="FN164" s="1228"/>
      <c r="FO164" s="1228"/>
      <c r="FP164" s="1228"/>
      <c r="FQ164" s="1228"/>
      <c r="FR164" s="1228"/>
      <c r="FS164" s="1228"/>
      <c r="FT164" s="1228"/>
      <c r="FU164" s="1228"/>
      <c r="FV164" s="1228"/>
      <c r="FW164" s="1228"/>
      <c r="FX164" s="1229"/>
      <c r="FY164" s="1229"/>
      <c r="FZ164" s="1148"/>
    </row>
    <row r="165" spans="155:182" s="1149" customFormat="1" x14ac:dyDescent="0.25">
      <c r="EY165" s="1147"/>
      <c r="EZ165" s="1147"/>
      <c r="FA165" s="1147"/>
      <c r="FB165" s="1228"/>
      <c r="FC165" s="1228"/>
      <c r="FD165" s="1228"/>
      <c r="FE165" s="1104">
        <v>42335</v>
      </c>
      <c r="FF165" s="1055">
        <v>1</v>
      </c>
      <c r="FG165" s="1055">
        <v>69.703400000000002</v>
      </c>
      <c r="FH165" s="1228"/>
      <c r="FI165" s="1228"/>
      <c r="FJ165" s="1228"/>
      <c r="FK165" s="1228"/>
      <c r="FL165" s="1228"/>
      <c r="FM165" s="1228"/>
      <c r="FN165" s="1228"/>
      <c r="FO165" s="1228"/>
      <c r="FP165" s="1228"/>
      <c r="FQ165" s="1228"/>
      <c r="FR165" s="1228"/>
      <c r="FS165" s="1228"/>
      <c r="FT165" s="1228"/>
      <c r="FU165" s="1228"/>
      <c r="FV165" s="1228"/>
      <c r="FW165" s="1228"/>
      <c r="FX165" s="1229"/>
      <c r="FY165" s="1229"/>
      <c r="FZ165" s="1148"/>
    </row>
    <row r="166" spans="155:182" s="1149" customFormat="1" x14ac:dyDescent="0.25">
      <c r="EY166" s="1147"/>
      <c r="EZ166" s="1147"/>
      <c r="FA166" s="1147"/>
      <c r="FB166" s="1228"/>
      <c r="FC166" s="1228"/>
      <c r="FD166" s="1228"/>
      <c r="FE166" s="1104">
        <v>42336</v>
      </c>
      <c r="FF166" s="1055">
        <v>1</v>
      </c>
      <c r="FG166" s="1055">
        <v>70.385900000000007</v>
      </c>
      <c r="FH166" s="1228"/>
      <c r="FI166" s="1228"/>
      <c r="FJ166" s="1228"/>
      <c r="FK166" s="1228"/>
      <c r="FL166" s="1228"/>
      <c r="FM166" s="1228"/>
      <c r="FN166" s="1228"/>
      <c r="FO166" s="1228"/>
      <c r="FP166" s="1228"/>
      <c r="FQ166" s="1228"/>
      <c r="FR166" s="1228"/>
      <c r="FS166" s="1228"/>
      <c r="FT166" s="1228"/>
      <c r="FU166" s="1228"/>
      <c r="FV166" s="1228"/>
      <c r="FW166" s="1228"/>
      <c r="FX166" s="1229"/>
      <c r="FY166" s="1229"/>
      <c r="FZ166" s="1148"/>
    </row>
    <row r="167" spans="155:182" s="1149" customFormat="1" x14ac:dyDescent="0.25">
      <c r="EY167" s="1147"/>
      <c r="EZ167" s="1147"/>
      <c r="FA167" s="1147"/>
      <c r="FB167" s="1228"/>
      <c r="FC167" s="1228"/>
      <c r="FD167" s="1228"/>
      <c r="FE167" s="1104">
        <v>42339</v>
      </c>
      <c r="FF167" s="1055">
        <v>1</v>
      </c>
      <c r="FG167" s="1055">
        <v>70.647800000000004</v>
      </c>
      <c r="FH167" s="1228"/>
      <c r="FI167" s="1228"/>
      <c r="FJ167" s="1228"/>
      <c r="FK167" s="1228"/>
      <c r="FL167" s="1228"/>
      <c r="FM167" s="1228"/>
      <c r="FN167" s="1228"/>
      <c r="FO167" s="1228"/>
      <c r="FP167" s="1228"/>
      <c r="FQ167" s="1228"/>
      <c r="FR167" s="1228"/>
      <c r="FS167" s="1228"/>
      <c r="FT167" s="1228"/>
      <c r="FU167" s="1228"/>
      <c r="FV167" s="1228"/>
      <c r="FW167" s="1228"/>
      <c r="FX167" s="1229"/>
      <c r="FY167" s="1229"/>
      <c r="FZ167" s="1148"/>
    </row>
    <row r="168" spans="155:182" s="1149" customFormat="1" x14ac:dyDescent="0.25">
      <c r="EY168" s="1147"/>
      <c r="EZ168" s="1147"/>
      <c r="FA168" s="1147"/>
      <c r="FB168" s="1228"/>
      <c r="FC168" s="1228"/>
      <c r="FD168" s="1228"/>
      <c r="FE168" s="1104">
        <v>42340</v>
      </c>
      <c r="FF168" s="1055">
        <v>1</v>
      </c>
      <c r="FG168" s="1055">
        <v>70.134500000000003</v>
      </c>
      <c r="FH168" s="1228"/>
      <c r="FI168" s="1228"/>
      <c r="FJ168" s="1228"/>
      <c r="FK168" s="1228"/>
      <c r="FL168" s="1228"/>
      <c r="FM168" s="1228"/>
      <c r="FN168" s="1228"/>
      <c r="FO168" s="1228"/>
      <c r="FP168" s="1228"/>
      <c r="FQ168" s="1228"/>
      <c r="FR168" s="1228"/>
      <c r="FS168" s="1228"/>
      <c r="FT168" s="1228"/>
      <c r="FU168" s="1228"/>
      <c r="FV168" s="1228"/>
      <c r="FW168" s="1228"/>
      <c r="FX168" s="1229"/>
      <c r="FY168" s="1229"/>
      <c r="FZ168" s="1148"/>
    </row>
    <row r="169" spans="155:182" s="1149" customFormat="1" x14ac:dyDescent="0.25">
      <c r="EY169" s="1147"/>
      <c r="EZ169" s="1147"/>
      <c r="FA169" s="1147"/>
      <c r="FB169" s="1228"/>
      <c r="FC169" s="1228"/>
      <c r="FD169" s="1228"/>
      <c r="FE169" s="1104">
        <v>42341</v>
      </c>
      <c r="FF169" s="1055">
        <v>1</v>
      </c>
      <c r="FG169" s="1055">
        <v>70.864699999999999</v>
      </c>
      <c r="FH169" s="1228"/>
      <c r="FI169" s="1228"/>
      <c r="FJ169" s="1228"/>
      <c r="FK169" s="1228"/>
      <c r="FL169" s="1228"/>
      <c r="FM169" s="1228"/>
      <c r="FN169" s="1228"/>
      <c r="FO169" s="1228"/>
      <c r="FP169" s="1228"/>
      <c r="FQ169" s="1228"/>
      <c r="FR169" s="1228"/>
      <c r="FS169" s="1228"/>
      <c r="FT169" s="1228"/>
      <c r="FU169" s="1228"/>
      <c r="FV169" s="1228"/>
      <c r="FW169" s="1228"/>
      <c r="FX169" s="1229"/>
      <c r="FY169" s="1229"/>
      <c r="FZ169" s="1148"/>
    </row>
    <row r="170" spans="155:182" s="1149" customFormat="1" x14ac:dyDescent="0.25">
      <c r="EY170" s="1147"/>
      <c r="EZ170" s="1147"/>
      <c r="FA170" s="1147"/>
      <c r="FB170" s="1228"/>
      <c r="FC170" s="1228"/>
      <c r="FD170" s="1228"/>
      <c r="FE170" s="1104">
        <v>42342</v>
      </c>
      <c r="FF170" s="1055">
        <v>1</v>
      </c>
      <c r="FG170" s="1055">
        <v>71.740399999999994</v>
      </c>
      <c r="FH170" s="1228"/>
      <c r="FI170" s="1228"/>
      <c r="FJ170" s="1228"/>
      <c r="FK170" s="1228"/>
      <c r="FL170" s="1228"/>
      <c r="FM170" s="1228"/>
      <c r="FN170" s="1228"/>
      <c r="FO170" s="1228"/>
      <c r="FP170" s="1228"/>
      <c r="FQ170" s="1228"/>
      <c r="FR170" s="1228"/>
      <c r="FS170" s="1228"/>
      <c r="FT170" s="1228"/>
      <c r="FU170" s="1228"/>
      <c r="FV170" s="1228"/>
      <c r="FW170" s="1228"/>
      <c r="FX170" s="1229"/>
      <c r="FY170" s="1229"/>
      <c r="FZ170" s="1148"/>
    </row>
    <row r="171" spans="155:182" s="1149" customFormat="1" x14ac:dyDescent="0.25">
      <c r="EY171" s="1147"/>
      <c r="EZ171" s="1147"/>
      <c r="FA171" s="1147"/>
      <c r="FB171" s="1228"/>
      <c r="FC171" s="1228"/>
      <c r="FD171" s="1228"/>
      <c r="FE171" s="1104">
        <v>42343</v>
      </c>
      <c r="FF171" s="1055">
        <v>1</v>
      </c>
      <c r="FG171" s="1055">
        <v>73.6721</v>
      </c>
      <c r="FH171" s="1228"/>
      <c r="FI171" s="1228"/>
      <c r="FJ171" s="1228"/>
      <c r="FK171" s="1228"/>
      <c r="FL171" s="1228"/>
      <c r="FM171" s="1228"/>
      <c r="FN171" s="1228"/>
      <c r="FO171" s="1228"/>
      <c r="FP171" s="1228"/>
      <c r="FQ171" s="1228"/>
      <c r="FR171" s="1228"/>
      <c r="FS171" s="1228"/>
      <c r="FT171" s="1228"/>
      <c r="FU171" s="1228"/>
      <c r="FV171" s="1228"/>
      <c r="FW171" s="1228"/>
      <c r="FX171" s="1229"/>
      <c r="FY171" s="1229"/>
      <c r="FZ171" s="1148"/>
    </row>
    <row r="172" spans="155:182" s="1149" customFormat="1" x14ac:dyDescent="0.25">
      <c r="EY172" s="1147"/>
      <c r="EZ172" s="1147"/>
      <c r="FA172" s="1147"/>
      <c r="FB172" s="1228"/>
      <c r="FC172" s="1228"/>
      <c r="FD172" s="1228"/>
      <c r="FE172" s="1104">
        <v>42346</v>
      </c>
      <c r="FF172" s="1055">
        <v>1</v>
      </c>
      <c r="FG172" s="1055">
        <v>74.407899999999998</v>
      </c>
      <c r="FH172" s="1228"/>
      <c r="FI172" s="1228"/>
      <c r="FJ172" s="1228"/>
      <c r="FK172" s="1228"/>
      <c r="FL172" s="1228"/>
      <c r="FM172" s="1228"/>
      <c r="FN172" s="1228"/>
      <c r="FO172" s="1228"/>
      <c r="FP172" s="1228"/>
      <c r="FQ172" s="1228"/>
      <c r="FR172" s="1228"/>
      <c r="FS172" s="1228"/>
      <c r="FT172" s="1228"/>
      <c r="FU172" s="1228"/>
      <c r="FV172" s="1228"/>
      <c r="FW172" s="1228"/>
      <c r="FX172" s="1229"/>
      <c r="FY172" s="1229"/>
      <c r="FZ172" s="1148"/>
    </row>
    <row r="173" spans="155:182" s="1149" customFormat="1" x14ac:dyDescent="0.25">
      <c r="EY173" s="1147"/>
      <c r="EZ173" s="1147"/>
      <c r="FA173" s="1147"/>
      <c r="FB173" s="1228"/>
      <c r="FC173" s="1228"/>
      <c r="FD173" s="1228"/>
      <c r="FE173" s="1104">
        <v>42347</v>
      </c>
      <c r="FF173" s="1055">
        <v>1</v>
      </c>
      <c r="FG173" s="1055">
        <v>75.311099999999996</v>
      </c>
      <c r="FH173" s="1228"/>
      <c r="FI173" s="1228"/>
      <c r="FJ173" s="1228"/>
      <c r="FK173" s="1228"/>
      <c r="FL173" s="1228"/>
      <c r="FM173" s="1228"/>
      <c r="FN173" s="1228"/>
      <c r="FO173" s="1228"/>
      <c r="FP173" s="1228"/>
      <c r="FQ173" s="1228"/>
      <c r="FR173" s="1228"/>
      <c r="FS173" s="1228"/>
      <c r="FT173" s="1228"/>
      <c r="FU173" s="1228"/>
      <c r="FV173" s="1228"/>
      <c r="FW173" s="1228"/>
      <c r="FX173" s="1229"/>
      <c r="FY173" s="1229"/>
      <c r="FZ173" s="1148"/>
    </row>
    <row r="174" spans="155:182" s="1149" customFormat="1" x14ac:dyDescent="0.25">
      <c r="EY174" s="1147"/>
      <c r="EZ174" s="1147"/>
      <c r="FA174" s="1147"/>
      <c r="FB174" s="1228"/>
      <c r="FC174" s="1228"/>
      <c r="FD174" s="1228"/>
      <c r="FE174" s="1104">
        <v>42348</v>
      </c>
      <c r="FF174" s="1055">
        <v>1</v>
      </c>
      <c r="FG174" s="1055">
        <v>75.5595</v>
      </c>
      <c r="FH174" s="1228"/>
      <c r="FI174" s="1228"/>
      <c r="FJ174" s="1228"/>
      <c r="FK174" s="1228"/>
      <c r="FL174" s="1228"/>
      <c r="FM174" s="1228"/>
      <c r="FN174" s="1228"/>
      <c r="FO174" s="1228"/>
      <c r="FP174" s="1228"/>
      <c r="FQ174" s="1228"/>
      <c r="FR174" s="1228"/>
      <c r="FS174" s="1228"/>
      <c r="FT174" s="1228"/>
      <c r="FU174" s="1228"/>
      <c r="FV174" s="1228"/>
      <c r="FW174" s="1228"/>
      <c r="FX174" s="1229"/>
      <c r="FY174" s="1229"/>
      <c r="FZ174" s="1148"/>
    </row>
    <row r="175" spans="155:182" s="1149" customFormat="1" x14ac:dyDescent="0.25">
      <c r="EY175" s="1147"/>
      <c r="EZ175" s="1147"/>
      <c r="FA175" s="1147"/>
      <c r="FB175" s="1228"/>
      <c r="FC175" s="1228"/>
      <c r="FD175" s="1228"/>
      <c r="FE175" s="1104">
        <v>42349</v>
      </c>
      <c r="FF175" s="1055">
        <v>1</v>
      </c>
      <c r="FG175" s="1055">
        <v>76.067400000000006</v>
      </c>
      <c r="FH175" s="1228"/>
      <c r="FI175" s="1228"/>
      <c r="FJ175" s="1228"/>
      <c r="FK175" s="1228"/>
      <c r="FL175" s="1228"/>
      <c r="FM175" s="1228"/>
      <c r="FN175" s="1228"/>
      <c r="FO175" s="1228"/>
      <c r="FP175" s="1228"/>
      <c r="FQ175" s="1228"/>
      <c r="FR175" s="1228"/>
      <c r="FS175" s="1228"/>
      <c r="FT175" s="1228"/>
      <c r="FU175" s="1228"/>
      <c r="FV175" s="1228"/>
      <c r="FW175" s="1228"/>
      <c r="FX175" s="1229"/>
      <c r="FY175" s="1229"/>
      <c r="FZ175" s="1148"/>
    </row>
    <row r="176" spans="155:182" s="1149" customFormat="1" x14ac:dyDescent="0.25">
      <c r="EY176" s="1147"/>
      <c r="EZ176" s="1147"/>
      <c r="FA176" s="1147"/>
      <c r="FB176" s="1228"/>
      <c r="FC176" s="1228"/>
      <c r="FD176" s="1228"/>
      <c r="FE176" s="1104">
        <v>42350</v>
      </c>
      <c r="FF176" s="1055">
        <v>1</v>
      </c>
      <c r="FG176" s="1055">
        <v>75.747200000000007</v>
      </c>
      <c r="FH176" s="1228"/>
      <c r="FI176" s="1228"/>
      <c r="FJ176" s="1228"/>
      <c r="FK176" s="1228"/>
      <c r="FL176" s="1228"/>
      <c r="FM176" s="1228"/>
      <c r="FN176" s="1228"/>
      <c r="FO176" s="1228"/>
      <c r="FP176" s="1228"/>
      <c r="FQ176" s="1228"/>
      <c r="FR176" s="1228"/>
      <c r="FS176" s="1228"/>
      <c r="FT176" s="1228"/>
      <c r="FU176" s="1228"/>
      <c r="FV176" s="1228"/>
      <c r="FW176" s="1228"/>
      <c r="FX176" s="1229"/>
      <c r="FY176" s="1229"/>
      <c r="FZ176" s="1148"/>
    </row>
    <row r="177" spans="12:183" s="1149" customFormat="1" x14ac:dyDescent="0.25">
      <c r="EY177" s="1147"/>
      <c r="EZ177" s="1147"/>
      <c r="FA177" s="1147"/>
      <c r="FB177" s="1228"/>
      <c r="FC177" s="1228"/>
      <c r="FD177" s="1228"/>
      <c r="FE177" s="1104">
        <v>42353</v>
      </c>
      <c r="FF177" s="1055">
        <v>1</v>
      </c>
      <c r="FG177" s="1055">
        <v>76.965900000000005</v>
      </c>
      <c r="FH177" s="1228"/>
      <c r="FI177" s="1228"/>
      <c r="FJ177" s="1228"/>
      <c r="FK177" s="1228"/>
      <c r="FL177" s="1228"/>
      <c r="FM177" s="1228"/>
      <c r="FN177" s="1228"/>
      <c r="FO177" s="1228"/>
      <c r="FP177" s="1228"/>
      <c r="FQ177" s="1228"/>
      <c r="FR177" s="1228"/>
      <c r="FS177" s="1228"/>
      <c r="FT177" s="1228"/>
      <c r="FU177" s="1228"/>
      <c r="FV177" s="1228"/>
      <c r="FW177" s="1228"/>
      <c r="FX177" s="1229"/>
      <c r="FY177" s="1229"/>
      <c r="FZ177" s="1148"/>
    </row>
    <row r="178" spans="12:183" s="1149" customFormat="1" x14ac:dyDescent="0.25">
      <c r="EY178" s="1147"/>
      <c r="EZ178" s="1147"/>
      <c r="FA178" s="1147"/>
      <c r="FB178" s="1228"/>
      <c r="FC178" s="1228"/>
      <c r="FD178" s="1228"/>
      <c r="FE178" s="1104">
        <v>42354</v>
      </c>
      <c r="FF178" s="1055">
        <v>1</v>
      </c>
      <c r="FG178" s="1055">
        <v>78.231200000000001</v>
      </c>
      <c r="FH178" s="1228"/>
      <c r="FI178" s="1228"/>
      <c r="FJ178" s="1228"/>
      <c r="FK178" s="1228"/>
      <c r="FL178" s="1228"/>
      <c r="FM178" s="1228"/>
      <c r="FN178" s="1228"/>
      <c r="FO178" s="1228"/>
      <c r="FP178" s="1228"/>
      <c r="FQ178" s="1228"/>
      <c r="FR178" s="1228"/>
      <c r="FS178" s="1228"/>
      <c r="FT178" s="1228"/>
      <c r="FU178" s="1228"/>
      <c r="FV178" s="1228"/>
      <c r="FW178" s="1228"/>
      <c r="FX178" s="1229"/>
      <c r="FY178" s="1229"/>
      <c r="FZ178" s="1148"/>
    </row>
    <row r="179" spans="12:183" s="1149" customFormat="1" x14ac:dyDescent="0.25">
      <c r="EY179" s="1147"/>
      <c r="EZ179" s="1147"/>
      <c r="FA179" s="1147"/>
      <c r="FB179" s="1228"/>
      <c r="FC179" s="1228"/>
      <c r="FD179" s="1228"/>
      <c r="FE179" s="1104">
        <v>42355</v>
      </c>
      <c r="FF179" s="1055">
        <v>1</v>
      </c>
      <c r="FG179" s="1055">
        <v>77.040000000000006</v>
      </c>
      <c r="FH179" s="1228"/>
      <c r="FI179" s="1228"/>
      <c r="FJ179" s="1228"/>
      <c r="FK179" s="1228"/>
      <c r="FL179" s="1228"/>
      <c r="FM179" s="1228"/>
      <c r="FN179" s="1228"/>
      <c r="FO179" s="1228"/>
      <c r="FP179" s="1228"/>
      <c r="FQ179" s="1228"/>
      <c r="FR179" s="1228"/>
      <c r="FS179" s="1228"/>
      <c r="FT179" s="1228"/>
      <c r="FU179" s="1228"/>
      <c r="FV179" s="1228"/>
      <c r="FW179" s="1228"/>
      <c r="FX179" s="1229"/>
      <c r="FY179" s="1229"/>
      <c r="FZ179" s="1148"/>
    </row>
    <row r="180" spans="12:183" s="1149" customFormat="1" x14ac:dyDescent="0.25">
      <c r="EY180" s="1147"/>
      <c r="EZ180" s="1147"/>
      <c r="FA180" s="1147"/>
      <c r="FB180" s="1228"/>
      <c r="FC180" s="1228"/>
      <c r="FD180" s="1228"/>
      <c r="FE180" s="1104">
        <v>42356</v>
      </c>
      <c r="FF180" s="1055">
        <v>1</v>
      </c>
      <c r="FG180" s="1055">
        <v>76.678799999999995</v>
      </c>
      <c r="FH180" s="1228"/>
      <c r="FI180" s="1228"/>
      <c r="FJ180" s="1228"/>
      <c r="FK180" s="1228"/>
      <c r="FL180" s="1228"/>
      <c r="FM180" s="1228"/>
      <c r="FN180" s="1228"/>
      <c r="FO180" s="1228"/>
      <c r="FP180" s="1228"/>
      <c r="FQ180" s="1228"/>
      <c r="FR180" s="1228"/>
      <c r="FS180" s="1228"/>
      <c r="FT180" s="1228"/>
      <c r="FU180" s="1228"/>
      <c r="FV180" s="1228"/>
      <c r="FW180" s="1228"/>
      <c r="FX180" s="1229"/>
      <c r="FY180" s="1229"/>
      <c r="FZ180" s="1148"/>
    </row>
    <row r="181" spans="12:183" s="1149" customFormat="1" x14ac:dyDescent="0.25">
      <c r="EY181" s="1147"/>
      <c r="EZ181" s="1147"/>
      <c r="FA181" s="1147"/>
      <c r="FB181" s="1228"/>
      <c r="FC181" s="1228"/>
      <c r="FD181" s="1228"/>
      <c r="FE181" s="1104">
        <v>42357</v>
      </c>
      <c r="FF181" s="1055">
        <v>1</v>
      </c>
      <c r="FG181" s="1055">
        <v>77.405199999999994</v>
      </c>
      <c r="FH181" s="1228"/>
      <c r="FI181" s="1228"/>
      <c r="FJ181" s="1228"/>
      <c r="FK181" s="1228"/>
      <c r="FL181" s="1228"/>
      <c r="FM181" s="1228"/>
      <c r="FN181" s="1228"/>
      <c r="FO181" s="1228"/>
      <c r="FP181" s="1228"/>
      <c r="FQ181" s="1228"/>
      <c r="FR181" s="1228"/>
      <c r="FS181" s="1228"/>
      <c r="FT181" s="1228"/>
      <c r="FU181" s="1228"/>
      <c r="FV181" s="1228"/>
      <c r="FW181" s="1228"/>
      <c r="FX181" s="1229"/>
      <c r="FY181" s="1229"/>
      <c r="FZ181" s="1148"/>
    </row>
    <row r="182" spans="12:183" s="1149" customFormat="1" x14ac:dyDescent="0.25">
      <c r="EY182" s="1147"/>
      <c r="EZ182" s="1147"/>
      <c r="FA182" s="1147"/>
      <c r="FB182" s="1228"/>
      <c r="FC182" s="1228"/>
      <c r="FD182" s="1228"/>
      <c r="FE182" s="1104">
        <v>42360</v>
      </c>
      <c r="FF182" s="1055">
        <v>1</v>
      </c>
      <c r="FG182" s="1055">
        <v>77.483000000000004</v>
      </c>
      <c r="FH182" s="1228"/>
      <c r="FI182" s="1228"/>
      <c r="FJ182" s="1228"/>
      <c r="FK182" s="1228"/>
      <c r="FL182" s="1228"/>
      <c r="FM182" s="1228"/>
      <c r="FN182" s="1228"/>
      <c r="FO182" s="1228"/>
      <c r="FP182" s="1228"/>
      <c r="FQ182" s="1228"/>
      <c r="FR182" s="1228"/>
      <c r="FS182" s="1228"/>
      <c r="FT182" s="1228"/>
      <c r="FU182" s="1228"/>
      <c r="FV182" s="1228"/>
      <c r="FW182" s="1228"/>
      <c r="FX182" s="1229"/>
      <c r="FY182" s="1229"/>
      <c r="FZ182" s="1148"/>
    </row>
    <row r="183" spans="12:183" s="1149" customFormat="1" x14ac:dyDescent="0.25">
      <c r="EY183" s="1147"/>
      <c r="EZ183" s="1147"/>
      <c r="FA183" s="1147"/>
      <c r="FB183" s="1228"/>
      <c r="FC183" s="1228"/>
      <c r="FD183" s="1228"/>
      <c r="FE183" s="1104">
        <v>42361</v>
      </c>
      <c r="FF183" s="1055">
        <v>1</v>
      </c>
      <c r="FG183" s="1055">
        <v>77.614500000000007</v>
      </c>
      <c r="FH183" s="1228"/>
      <c r="FI183" s="1228"/>
      <c r="FJ183" s="1228"/>
      <c r="FK183" s="1228"/>
      <c r="FL183" s="1228"/>
      <c r="FM183" s="1228"/>
      <c r="FN183" s="1228"/>
      <c r="FO183" s="1228"/>
      <c r="FP183" s="1228"/>
      <c r="FQ183" s="1228"/>
      <c r="FR183" s="1228"/>
      <c r="FS183" s="1228"/>
      <c r="FT183" s="1228"/>
      <c r="FU183" s="1228"/>
      <c r="FV183" s="1228"/>
      <c r="FW183" s="1228"/>
      <c r="FX183" s="1229"/>
      <c r="FY183" s="1229"/>
      <c r="FZ183" s="1148"/>
    </row>
    <row r="184" spans="12:183" s="1149" customFormat="1" x14ac:dyDescent="0.2">
      <c r="L184" s="1153"/>
      <c r="M184" s="1153"/>
      <c r="N184" s="1153"/>
      <c r="O184" s="1153"/>
      <c r="P184" s="1153"/>
      <c r="Q184" s="1153"/>
      <c r="R184" s="1153"/>
      <c r="S184" s="1153"/>
      <c r="T184" s="1153"/>
      <c r="U184" s="1153"/>
      <c r="EY184" s="1147"/>
      <c r="EZ184" s="1147"/>
      <c r="FA184" s="1147"/>
      <c r="FB184" s="1228"/>
      <c r="FC184" s="1228"/>
      <c r="FD184" s="1228"/>
      <c r="FE184" s="1104">
        <v>42362</v>
      </c>
      <c r="FF184" s="1055">
        <v>1</v>
      </c>
      <c r="FG184" s="1055">
        <v>77.544300000000007</v>
      </c>
      <c r="FH184" s="1228"/>
      <c r="FI184" s="1228"/>
      <c r="FJ184" s="1228"/>
      <c r="FK184" s="1228"/>
      <c r="FL184" s="1228"/>
      <c r="FM184" s="1228"/>
      <c r="FN184" s="1228"/>
      <c r="FO184" s="1228"/>
      <c r="FP184" s="1228"/>
      <c r="FQ184" s="1228"/>
      <c r="FR184" s="1228"/>
      <c r="FS184" s="1228"/>
      <c r="FT184" s="1228"/>
      <c r="FU184" s="1228"/>
      <c r="FV184" s="1228"/>
      <c r="FW184" s="1228"/>
      <c r="FX184" s="1229"/>
      <c r="FY184" s="1229"/>
      <c r="FZ184" s="1148"/>
    </row>
    <row r="185" spans="12:183" s="1149" customFormat="1" x14ac:dyDescent="0.2">
      <c r="L185" s="1153"/>
      <c r="M185" s="1153"/>
      <c r="N185" s="1153"/>
      <c r="O185" s="1153"/>
      <c r="P185" s="1153"/>
      <c r="Q185" s="1153"/>
      <c r="R185" s="1153"/>
      <c r="S185" s="1153"/>
      <c r="T185" s="1153"/>
      <c r="U185" s="1153"/>
      <c r="EY185" s="1147"/>
      <c r="EZ185" s="1147"/>
      <c r="FA185" s="1147"/>
      <c r="FB185" s="1228"/>
      <c r="FC185" s="1228"/>
      <c r="FD185" s="1228"/>
      <c r="FE185" s="1104">
        <v>42363</v>
      </c>
      <c r="FF185" s="1055">
        <v>1</v>
      </c>
      <c r="FG185" s="1055">
        <v>76.0441</v>
      </c>
      <c r="FH185" s="1228"/>
      <c r="FI185" s="1228"/>
      <c r="FJ185" s="1228"/>
      <c r="FK185" s="1228"/>
      <c r="FL185" s="1228"/>
      <c r="FM185" s="1228"/>
      <c r="FN185" s="1228"/>
      <c r="FO185" s="1228"/>
      <c r="FP185" s="1228"/>
      <c r="FQ185" s="1228"/>
      <c r="FR185" s="1228"/>
      <c r="FS185" s="1228"/>
      <c r="FT185" s="1228"/>
      <c r="FU185" s="1228"/>
      <c r="FV185" s="1228"/>
      <c r="FW185" s="1228"/>
      <c r="FX185" s="1229"/>
      <c r="FY185" s="1229"/>
      <c r="FZ185" s="1148"/>
    </row>
    <row r="186" spans="12:183" x14ac:dyDescent="0.35">
      <c r="FB186" s="1230"/>
      <c r="FC186" s="1230"/>
      <c r="FD186" s="1230"/>
      <c r="FE186" s="1104">
        <v>42364</v>
      </c>
      <c r="FF186" s="1055">
        <v>1</v>
      </c>
      <c r="FG186" s="1055">
        <v>77.05</v>
      </c>
      <c r="FH186" s="1230"/>
      <c r="FI186" s="1230"/>
      <c r="FJ186" s="1230"/>
      <c r="FK186" s="1230"/>
      <c r="FL186" s="1230"/>
      <c r="FM186" s="1230"/>
      <c r="FN186" s="1230"/>
      <c r="FO186" s="1230"/>
      <c r="FP186" s="1230"/>
      <c r="FQ186" s="1230"/>
      <c r="FR186" s="1230"/>
      <c r="FS186" s="1230"/>
      <c r="FT186" s="1230"/>
      <c r="FU186" s="1230"/>
      <c r="FV186" s="1230"/>
      <c r="FW186" s="1230"/>
      <c r="FX186" s="1231"/>
      <c r="FY186" s="1231"/>
      <c r="FZ186" s="1152"/>
      <c r="GA186" s="1153"/>
    </row>
    <row r="187" spans="12:183" x14ac:dyDescent="0.35">
      <c r="FB187" s="1230"/>
      <c r="FC187" s="1230"/>
      <c r="FD187" s="1230"/>
      <c r="FE187" s="1104">
        <v>42367</v>
      </c>
      <c r="FF187" s="1055">
        <v>1</v>
      </c>
      <c r="FG187" s="1055">
        <v>77.603200000000001</v>
      </c>
      <c r="FH187" s="1230"/>
      <c r="FI187" s="1230"/>
      <c r="FJ187" s="1230"/>
      <c r="FK187" s="1230"/>
      <c r="FL187" s="1230"/>
      <c r="FM187" s="1230"/>
      <c r="FN187" s="1230"/>
      <c r="FO187" s="1230"/>
      <c r="FP187" s="1230"/>
      <c r="FQ187" s="1230"/>
      <c r="FR187" s="1230"/>
      <c r="FS187" s="1230"/>
      <c r="FT187" s="1230"/>
      <c r="FU187" s="1230"/>
      <c r="FV187" s="1230"/>
      <c r="FW187" s="1230"/>
      <c r="FX187" s="1231"/>
      <c r="FY187" s="1231"/>
      <c r="FZ187" s="1152"/>
      <c r="GA187" s="1153"/>
    </row>
    <row r="188" spans="12:183" x14ac:dyDescent="0.35">
      <c r="FB188" s="1230"/>
      <c r="FC188" s="1230"/>
      <c r="FD188" s="1230"/>
      <c r="FE188" s="1104">
        <v>42368</v>
      </c>
      <c r="FF188" s="1055">
        <v>1</v>
      </c>
      <c r="FG188" s="1055">
        <v>79.546999999999997</v>
      </c>
      <c r="FH188" s="1230"/>
      <c r="FI188" s="1230"/>
      <c r="FJ188" s="1230"/>
      <c r="FK188" s="1230"/>
      <c r="FL188" s="1230"/>
      <c r="FM188" s="1230"/>
      <c r="FN188" s="1230"/>
      <c r="FO188" s="1230"/>
      <c r="FP188" s="1230"/>
      <c r="FQ188" s="1230"/>
      <c r="FR188" s="1230"/>
      <c r="FS188" s="1230"/>
      <c r="FT188" s="1230"/>
      <c r="FU188" s="1230"/>
      <c r="FV188" s="1230"/>
      <c r="FW188" s="1230"/>
      <c r="FX188" s="1231"/>
      <c r="FY188" s="1231"/>
      <c r="FZ188" s="1152"/>
      <c r="GA188" s="1153"/>
    </row>
    <row r="189" spans="12:183" x14ac:dyDescent="0.35">
      <c r="FB189" s="1230"/>
      <c r="FC189" s="1230"/>
      <c r="FD189" s="1230"/>
      <c r="FE189" s="1104">
        <v>42369</v>
      </c>
      <c r="FF189" s="1055">
        <v>1</v>
      </c>
      <c r="FG189" s="1055">
        <v>79.697199999999995</v>
      </c>
      <c r="FH189" s="1230"/>
      <c r="FI189" s="1230"/>
      <c r="FJ189" s="1230"/>
      <c r="FK189" s="1230"/>
      <c r="FL189" s="1230"/>
      <c r="FM189" s="1230"/>
      <c r="FN189" s="1230"/>
      <c r="FO189" s="1230"/>
      <c r="FP189" s="1230"/>
      <c r="FQ189" s="1230"/>
      <c r="FR189" s="1230"/>
      <c r="FS189" s="1230"/>
      <c r="FT189" s="1230"/>
      <c r="FU189" s="1230"/>
      <c r="FV189" s="1230"/>
      <c r="FW189" s="1230"/>
      <c r="FX189" s="1231"/>
      <c r="FY189" s="1231"/>
      <c r="FZ189" s="1152"/>
      <c r="GA189" s="1153"/>
    </row>
    <row r="190" spans="12:183" x14ac:dyDescent="0.35">
      <c r="FB190" s="1230"/>
      <c r="FC190" s="1230"/>
      <c r="FD190" s="1230"/>
      <c r="FE190" s="1104">
        <v>42370</v>
      </c>
      <c r="FF190" s="1055">
        <v>1</v>
      </c>
      <c r="FG190" s="1055">
        <v>79.639499999999998</v>
      </c>
      <c r="FH190" s="1230"/>
      <c r="FI190" s="1230"/>
      <c r="FJ190" s="1230"/>
      <c r="FK190" s="1230"/>
      <c r="FL190" s="1230"/>
      <c r="FM190" s="1230"/>
      <c r="FN190" s="1230"/>
      <c r="FO190" s="1230"/>
      <c r="FP190" s="1230"/>
      <c r="FQ190" s="1230"/>
      <c r="FR190" s="1230"/>
      <c r="FS190" s="1230"/>
      <c r="FT190" s="1230"/>
      <c r="FU190" s="1230"/>
      <c r="FV190" s="1230"/>
      <c r="FW190" s="1230"/>
      <c r="FX190" s="1231"/>
      <c r="FY190" s="1231"/>
      <c r="FZ190" s="1152"/>
      <c r="GA190" s="1153"/>
    </row>
    <row r="191" spans="12:183" x14ac:dyDescent="0.35">
      <c r="FB191" s="1230"/>
      <c r="FC191" s="1230"/>
      <c r="FD191" s="1230"/>
      <c r="FE191" s="1104">
        <v>42381</v>
      </c>
      <c r="FF191" s="1055">
        <v>1</v>
      </c>
      <c r="FG191" s="1055">
        <v>82.808999999999997</v>
      </c>
      <c r="FH191" s="1230"/>
      <c r="FI191" s="1230"/>
      <c r="FJ191" s="1230"/>
      <c r="FK191" s="1230"/>
      <c r="FL191" s="1230"/>
      <c r="FM191" s="1230"/>
      <c r="FN191" s="1230"/>
      <c r="FO191" s="1230"/>
      <c r="FP191" s="1230"/>
      <c r="FQ191" s="1230"/>
      <c r="FR191" s="1230"/>
      <c r="FS191" s="1230"/>
      <c r="FT191" s="1230"/>
      <c r="FU191" s="1230"/>
      <c r="FV191" s="1230"/>
      <c r="FW191" s="1230"/>
      <c r="FX191" s="1231"/>
      <c r="FY191" s="1231"/>
      <c r="FZ191" s="1152"/>
      <c r="GA191" s="1153"/>
    </row>
    <row r="192" spans="12:183" x14ac:dyDescent="0.35">
      <c r="FB192" s="1230"/>
      <c r="FC192" s="1230"/>
      <c r="FD192" s="1230"/>
      <c r="FE192" s="1104">
        <v>42382</v>
      </c>
      <c r="FF192" s="1055">
        <v>1</v>
      </c>
      <c r="FG192" s="1055">
        <v>83.437200000000004</v>
      </c>
      <c r="FH192" s="1230"/>
      <c r="FI192" s="1230"/>
      <c r="FJ192" s="1230"/>
      <c r="FK192" s="1230"/>
      <c r="FL192" s="1230"/>
      <c r="FM192" s="1230"/>
      <c r="FN192" s="1230"/>
      <c r="FO192" s="1230"/>
      <c r="FP192" s="1230"/>
      <c r="FQ192" s="1230"/>
      <c r="FR192" s="1230"/>
      <c r="FS192" s="1230"/>
      <c r="FT192" s="1230"/>
      <c r="FU192" s="1230"/>
      <c r="FV192" s="1230"/>
      <c r="FW192" s="1230"/>
      <c r="FX192" s="1231"/>
      <c r="FY192" s="1231"/>
      <c r="FZ192" s="1152"/>
      <c r="GA192" s="1153"/>
    </row>
    <row r="193" spans="158:183" x14ac:dyDescent="0.35">
      <c r="FB193" s="1230"/>
      <c r="FC193" s="1230"/>
      <c r="FD193" s="1230"/>
      <c r="FE193" s="1104">
        <v>42383</v>
      </c>
      <c r="FF193" s="1055">
        <v>1</v>
      </c>
      <c r="FG193" s="1055">
        <v>82.717500000000001</v>
      </c>
      <c r="FH193" s="1230"/>
      <c r="FI193" s="1230"/>
      <c r="FJ193" s="1230"/>
      <c r="FK193" s="1230"/>
      <c r="FL193" s="1230"/>
      <c r="FM193" s="1230"/>
      <c r="FN193" s="1230"/>
      <c r="FO193" s="1230"/>
      <c r="FP193" s="1230"/>
      <c r="FQ193" s="1230"/>
      <c r="FR193" s="1230"/>
      <c r="FS193" s="1230"/>
      <c r="FT193" s="1230"/>
      <c r="FU193" s="1230"/>
      <c r="FV193" s="1230"/>
      <c r="FW193" s="1230"/>
      <c r="FX193" s="1231"/>
      <c r="FY193" s="1231"/>
      <c r="FZ193" s="1152"/>
      <c r="GA193" s="1153"/>
    </row>
    <row r="194" spans="158:183" x14ac:dyDescent="0.35">
      <c r="FB194" s="1230"/>
      <c r="FC194" s="1230"/>
      <c r="FD194" s="1230"/>
      <c r="FE194" s="1104">
        <v>42384</v>
      </c>
      <c r="FF194" s="1055">
        <v>1</v>
      </c>
      <c r="FG194" s="1055">
        <v>83.149900000000002</v>
      </c>
      <c r="FH194" s="1230"/>
      <c r="FI194" s="1230"/>
      <c r="FJ194" s="1230"/>
      <c r="FK194" s="1230"/>
      <c r="FL194" s="1230"/>
      <c r="FM194" s="1230"/>
      <c r="FN194" s="1230"/>
      <c r="FO194" s="1230"/>
      <c r="FP194" s="1230"/>
      <c r="FQ194" s="1230"/>
      <c r="FR194" s="1230"/>
      <c r="FS194" s="1230"/>
      <c r="FT194" s="1230"/>
      <c r="FU194" s="1230"/>
      <c r="FV194" s="1230"/>
      <c r="FW194" s="1230"/>
      <c r="FX194" s="1231"/>
      <c r="FY194" s="1231"/>
      <c r="FZ194" s="1152"/>
      <c r="GA194" s="1153"/>
    </row>
    <row r="195" spans="158:183" x14ac:dyDescent="0.35">
      <c r="FB195" s="1230"/>
      <c r="FC195" s="1230"/>
      <c r="FD195" s="1230"/>
      <c r="FE195" s="1104">
        <v>42385</v>
      </c>
      <c r="FF195" s="1055">
        <v>1</v>
      </c>
      <c r="FG195" s="1055">
        <v>83.295100000000005</v>
      </c>
      <c r="FH195" s="1230"/>
      <c r="FI195" s="1230"/>
      <c r="FJ195" s="1230"/>
      <c r="FK195" s="1230"/>
      <c r="FL195" s="1230"/>
      <c r="FM195" s="1230"/>
      <c r="FN195" s="1230"/>
      <c r="FO195" s="1230"/>
      <c r="FP195" s="1230"/>
      <c r="FQ195" s="1230"/>
      <c r="FR195" s="1230"/>
      <c r="FS195" s="1230"/>
      <c r="FT195" s="1230"/>
      <c r="FU195" s="1230"/>
      <c r="FV195" s="1230"/>
      <c r="FW195" s="1230"/>
      <c r="FX195" s="1231"/>
      <c r="FY195" s="1231"/>
      <c r="FZ195" s="1152"/>
      <c r="GA195" s="1153"/>
    </row>
    <row r="196" spans="158:183" x14ac:dyDescent="0.35">
      <c r="FB196" s="1230"/>
      <c r="FC196" s="1230"/>
      <c r="FD196" s="1230"/>
      <c r="FE196" s="1104">
        <v>42388</v>
      </c>
      <c r="FF196" s="1055">
        <v>1</v>
      </c>
      <c r="FG196" s="1055">
        <v>85.622</v>
      </c>
      <c r="FH196" s="1230"/>
      <c r="FI196" s="1230"/>
      <c r="FJ196" s="1230"/>
      <c r="FK196" s="1230"/>
      <c r="FL196" s="1230"/>
      <c r="FM196" s="1230"/>
      <c r="FN196" s="1230"/>
      <c r="FO196" s="1230"/>
      <c r="FP196" s="1230"/>
      <c r="FQ196" s="1230"/>
      <c r="FR196" s="1230"/>
      <c r="FS196" s="1230"/>
      <c r="FT196" s="1230"/>
      <c r="FU196" s="1230"/>
      <c r="FV196" s="1230"/>
      <c r="FW196" s="1230"/>
      <c r="FX196" s="1231"/>
      <c r="FY196" s="1231"/>
      <c r="FZ196" s="1152"/>
      <c r="GA196" s="1153"/>
    </row>
    <row r="197" spans="158:183" x14ac:dyDescent="0.35">
      <c r="FB197" s="1230"/>
      <c r="FC197" s="1230"/>
      <c r="FD197" s="1230"/>
      <c r="FE197" s="1104">
        <v>42389</v>
      </c>
      <c r="FF197" s="1055">
        <v>1</v>
      </c>
      <c r="FG197" s="1055">
        <v>85.2988</v>
      </c>
      <c r="FH197" s="1230"/>
      <c r="FI197" s="1230"/>
      <c r="FJ197" s="1230"/>
      <c r="FK197" s="1230"/>
      <c r="FL197" s="1230"/>
      <c r="FM197" s="1230"/>
      <c r="FN197" s="1230"/>
      <c r="FO197" s="1230"/>
      <c r="FP197" s="1230"/>
      <c r="FQ197" s="1230"/>
      <c r="FR197" s="1230"/>
      <c r="FS197" s="1230"/>
      <c r="FT197" s="1230"/>
      <c r="FU197" s="1230"/>
      <c r="FV197" s="1230"/>
      <c r="FW197" s="1230"/>
      <c r="FX197" s="1231"/>
      <c r="FY197" s="1231"/>
      <c r="FZ197" s="1152"/>
      <c r="GA197" s="1153"/>
    </row>
    <row r="198" spans="158:183" x14ac:dyDescent="0.35">
      <c r="FB198" s="1230"/>
      <c r="FC198" s="1230"/>
      <c r="FD198" s="1230"/>
      <c r="FE198" s="1104">
        <v>42390</v>
      </c>
      <c r="FF198" s="1055">
        <v>1</v>
      </c>
      <c r="FG198" s="1055">
        <v>87.034099999999995</v>
      </c>
      <c r="FH198" s="1230"/>
      <c r="FI198" s="1230"/>
      <c r="FJ198" s="1230"/>
      <c r="FK198" s="1230"/>
      <c r="FL198" s="1230"/>
      <c r="FM198" s="1230"/>
      <c r="FN198" s="1230"/>
      <c r="FO198" s="1230"/>
      <c r="FP198" s="1230"/>
      <c r="FQ198" s="1230"/>
      <c r="FR198" s="1230"/>
      <c r="FS198" s="1230"/>
      <c r="FT198" s="1230"/>
      <c r="FU198" s="1230"/>
      <c r="FV198" s="1230"/>
      <c r="FW198" s="1230"/>
      <c r="FX198" s="1231"/>
      <c r="FY198" s="1231"/>
      <c r="FZ198" s="1152"/>
      <c r="GA198" s="1153"/>
    </row>
    <row r="199" spans="158:183" x14ac:dyDescent="0.35">
      <c r="FB199" s="1230"/>
      <c r="FC199" s="1230"/>
      <c r="FD199" s="1230"/>
      <c r="FE199" s="1104">
        <v>42391</v>
      </c>
      <c r="FF199" s="1055">
        <v>1</v>
      </c>
      <c r="FG199" s="1055">
        <v>91.181399999999996</v>
      </c>
      <c r="FH199" s="1230"/>
      <c r="FI199" s="1230"/>
      <c r="FJ199" s="1230"/>
      <c r="FK199" s="1230"/>
      <c r="FL199" s="1230"/>
      <c r="FM199" s="1230"/>
      <c r="FN199" s="1230"/>
      <c r="FO199" s="1230"/>
      <c r="FP199" s="1230"/>
      <c r="FQ199" s="1230"/>
      <c r="FR199" s="1230"/>
      <c r="FS199" s="1230"/>
      <c r="FT199" s="1230"/>
      <c r="FU199" s="1230"/>
      <c r="FV199" s="1230"/>
      <c r="FW199" s="1230"/>
      <c r="FX199" s="1231"/>
      <c r="FY199" s="1231"/>
      <c r="FZ199" s="1152"/>
      <c r="GA199" s="1153"/>
    </row>
    <row r="200" spans="158:183" x14ac:dyDescent="0.35">
      <c r="FB200" s="1230"/>
      <c r="FC200" s="1230"/>
      <c r="FD200" s="1230"/>
      <c r="FE200" s="1104">
        <v>42392</v>
      </c>
      <c r="FF200" s="1055">
        <v>1</v>
      </c>
      <c r="FG200" s="1055">
        <v>87.226600000000005</v>
      </c>
      <c r="FH200" s="1230"/>
      <c r="FI200" s="1230"/>
      <c r="FJ200" s="1230"/>
      <c r="FK200" s="1230"/>
      <c r="FL200" s="1230"/>
      <c r="FM200" s="1230"/>
      <c r="FN200" s="1230"/>
      <c r="FO200" s="1230"/>
      <c r="FP200" s="1230"/>
      <c r="FQ200" s="1230"/>
      <c r="FR200" s="1230"/>
      <c r="FS200" s="1230"/>
      <c r="FT200" s="1230"/>
      <c r="FU200" s="1230"/>
      <c r="FV200" s="1230"/>
      <c r="FW200" s="1230"/>
      <c r="FX200" s="1231"/>
      <c r="FY200" s="1231"/>
      <c r="FZ200" s="1152"/>
      <c r="GA200" s="1153"/>
    </row>
    <row r="201" spans="158:183" x14ac:dyDescent="0.35">
      <c r="FB201" s="1230"/>
      <c r="FC201" s="1230"/>
      <c r="FD201" s="1230"/>
      <c r="FE201" s="1104">
        <v>42395</v>
      </c>
      <c r="FF201" s="1055">
        <v>1</v>
      </c>
      <c r="FG201" s="1055">
        <v>84.160300000000007</v>
      </c>
      <c r="FH201" s="1230"/>
      <c r="FI201" s="1230"/>
      <c r="FJ201" s="1230"/>
      <c r="FK201" s="1230"/>
      <c r="FL201" s="1230"/>
      <c r="FM201" s="1230"/>
      <c r="FN201" s="1230"/>
      <c r="FO201" s="1230"/>
      <c r="FP201" s="1230"/>
      <c r="FQ201" s="1230"/>
      <c r="FR201" s="1230"/>
      <c r="FS201" s="1230"/>
      <c r="FT201" s="1230"/>
      <c r="FU201" s="1230"/>
      <c r="FV201" s="1230"/>
      <c r="FW201" s="1230"/>
      <c r="FX201" s="1231"/>
      <c r="FY201" s="1231"/>
      <c r="FZ201" s="1152"/>
      <c r="GA201" s="1153"/>
    </row>
    <row r="202" spans="158:183" x14ac:dyDescent="0.35">
      <c r="FB202" s="1230"/>
      <c r="FC202" s="1230"/>
      <c r="FD202" s="1230"/>
      <c r="FE202" s="1104">
        <v>42396</v>
      </c>
      <c r="FF202" s="1055">
        <v>1</v>
      </c>
      <c r="FG202" s="1055">
        <v>88.885800000000003</v>
      </c>
      <c r="FH202" s="1230"/>
      <c r="FI202" s="1230"/>
      <c r="FJ202" s="1230"/>
      <c r="FK202" s="1230"/>
      <c r="FL202" s="1230"/>
      <c r="FM202" s="1230"/>
      <c r="FN202" s="1230"/>
      <c r="FO202" s="1230"/>
      <c r="FP202" s="1230"/>
      <c r="FQ202" s="1230"/>
      <c r="FR202" s="1230"/>
      <c r="FS202" s="1230"/>
      <c r="FT202" s="1230"/>
      <c r="FU202" s="1230"/>
      <c r="FV202" s="1230"/>
      <c r="FW202" s="1230"/>
      <c r="FX202" s="1231"/>
      <c r="FY202" s="1231"/>
      <c r="FZ202" s="1152"/>
      <c r="GA202" s="1153"/>
    </row>
    <row r="203" spans="158:183" x14ac:dyDescent="0.35">
      <c r="FB203" s="1230"/>
      <c r="FC203" s="1230"/>
      <c r="FD203" s="1230"/>
      <c r="FE203" s="1104">
        <v>42397</v>
      </c>
      <c r="FF203" s="1055">
        <v>1</v>
      </c>
      <c r="FG203" s="1055">
        <v>85.8459</v>
      </c>
      <c r="FH203" s="1230"/>
      <c r="FI203" s="1230"/>
      <c r="FJ203" s="1230"/>
      <c r="FK203" s="1230"/>
      <c r="FL203" s="1230"/>
      <c r="FM203" s="1230"/>
      <c r="FN203" s="1230"/>
      <c r="FO203" s="1230"/>
      <c r="FP203" s="1230"/>
      <c r="FQ203" s="1230"/>
      <c r="FR203" s="1230"/>
      <c r="FS203" s="1230"/>
      <c r="FT203" s="1230"/>
      <c r="FU203" s="1230"/>
      <c r="FV203" s="1230"/>
      <c r="FW203" s="1230"/>
      <c r="FX203" s="1231"/>
      <c r="FY203" s="1231"/>
      <c r="FZ203" s="1152"/>
      <c r="GA203" s="1153"/>
    </row>
    <row r="204" spans="158:183" x14ac:dyDescent="0.35">
      <c r="FB204" s="1230"/>
      <c r="FC204" s="1230"/>
      <c r="FD204" s="1230"/>
      <c r="FE204" s="1104">
        <v>42398</v>
      </c>
      <c r="FF204" s="1055">
        <v>1</v>
      </c>
      <c r="FG204" s="1055">
        <v>84.137</v>
      </c>
      <c r="FH204" s="1230"/>
      <c r="FI204" s="1230"/>
      <c r="FJ204" s="1230"/>
      <c r="FK204" s="1230"/>
      <c r="FL204" s="1230"/>
      <c r="FM204" s="1230"/>
      <c r="FN204" s="1230"/>
      <c r="FO204" s="1230"/>
      <c r="FP204" s="1230"/>
      <c r="FQ204" s="1230"/>
      <c r="FR204" s="1230"/>
      <c r="FS204" s="1230"/>
      <c r="FT204" s="1230"/>
      <c r="FU204" s="1230"/>
      <c r="FV204" s="1230"/>
      <c r="FW204" s="1230"/>
      <c r="FX204" s="1231"/>
      <c r="FY204" s="1231"/>
      <c r="FZ204" s="1152"/>
      <c r="GA204" s="1153"/>
    </row>
    <row r="205" spans="158:183" x14ac:dyDescent="0.35">
      <c r="FB205" s="1230"/>
      <c r="FC205" s="1230"/>
      <c r="FD205" s="1230"/>
      <c r="FE205" s="1104">
        <v>42399</v>
      </c>
      <c r="FF205" s="1055">
        <v>1</v>
      </c>
      <c r="FG205" s="1055">
        <v>81.907700000000006</v>
      </c>
      <c r="FH205" s="1230"/>
      <c r="FI205" s="1230"/>
      <c r="FJ205" s="1230"/>
      <c r="FK205" s="1230"/>
      <c r="FL205" s="1230"/>
      <c r="FM205" s="1230"/>
      <c r="FN205" s="1230"/>
      <c r="FO205" s="1230"/>
      <c r="FP205" s="1230"/>
      <c r="FQ205" s="1230"/>
      <c r="FR205" s="1230"/>
      <c r="FS205" s="1230"/>
      <c r="FT205" s="1230"/>
      <c r="FU205" s="1230"/>
      <c r="FV205" s="1230"/>
      <c r="FW205" s="1230"/>
      <c r="FX205" s="1231"/>
      <c r="FY205" s="1231"/>
      <c r="FZ205" s="1152"/>
      <c r="GA205" s="1153"/>
    </row>
    <row r="206" spans="158:183" x14ac:dyDescent="0.35">
      <c r="FB206" s="1230"/>
      <c r="FC206" s="1230"/>
      <c r="FD206" s="1230"/>
      <c r="FE206" s="1104">
        <v>42402</v>
      </c>
      <c r="FF206" s="1055">
        <v>1</v>
      </c>
      <c r="FG206" s="1055">
        <v>82.814099999999996</v>
      </c>
      <c r="FH206" s="1230"/>
      <c r="FI206" s="1230"/>
      <c r="FJ206" s="1230"/>
      <c r="FK206" s="1230"/>
      <c r="FL206" s="1230"/>
      <c r="FM206" s="1230"/>
      <c r="FN206" s="1230"/>
      <c r="FO206" s="1230"/>
      <c r="FP206" s="1230"/>
      <c r="FQ206" s="1230"/>
      <c r="FR206" s="1230"/>
      <c r="FS206" s="1230"/>
      <c r="FT206" s="1230"/>
      <c r="FU206" s="1230"/>
      <c r="FV206" s="1230"/>
      <c r="FW206" s="1230"/>
      <c r="FX206" s="1231"/>
      <c r="FY206" s="1231"/>
      <c r="FZ206" s="1152"/>
      <c r="GA206" s="1153"/>
    </row>
    <row r="207" spans="158:183" x14ac:dyDescent="0.35">
      <c r="FB207" s="1230"/>
      <c r="FC207" s="1230"/>
      <c r="FD207" s="1230"/>
      <c r="FE207" s="1104">
        <v>42403</v>
      </c>
      <c r="FF207" s="1055">
        <v>1</v>
      </c>
      <c r="FG207" s="1055">
        <v>84.971900000000005</v>
      </c>
      <c r="FH207" s="1230"/>
      <c r="FI207" s="1230"/>
      <c r="FJ207" s="1230"/>
      <c r="FK207" s="1230"/>
      <c r="FL207" s="1230"/>
      <c r="FM207" s="1230"/>
      <c r="FN207" s="1230"/>
      <c r="FO207" s="1230"/>
      <c r="FP207" s="1230"/>
      <c r="FQ207" s="1230"/>
      <c r="FR207" s="1230"/>
      <c r="FS207" s="1230"/>
      <c r="FT207" s="1230"/>
      <c r="FU207" s="1230"/>
      <c r="FV207" s="1230"/>
      <c r="FW207" s="1230"/>
      <c r="FX207" s="1231"/>
      <c r="FY207" s="1231"/>
      <c r="FZ207" s="1152"/>
      <c r="GA207" s="1153"/>
    </row>
    <row r="208" spans="158:183" x14ac:dyDescent="0.35">
      <c r="FB208" s="1230"/>
      <c r="FC208" s="1230"/>
      <c r="FD208" s="1230"/>
      <c r="FE208" s="1104">
        <v>42404</v>
      </c>
      <c r="FF208" s="1055">
        <v>1</v>
      </c>
      <c r="FG208" s="1055">
        <v>86.511499999999998</v>
      </c>
      <c r="FH208" s="1230"/>
      <c r="FI208" s="1230"/>
      <c r="FJ208" s="1230"/>
      <c r="FK208" s="1230"/>
      <c r="FL208" s="1230"/>
      <c r="FM208" s="1230"/>
      <c r="FN208" s="1230"/>
      <c r="FO208" s="1230"/>
      <c r="FP208" s="1230"/>
      <c r="FQ208" s="1230"/>
      <c r="FR208" s="1230"/>
      <c r="FS208" s="1230"/>
      <c r="FT208" s="1230"/>
      <c r="FU208" s="1230"/>
      <c r="FV208" s="1230"/>
      <c r="FW208" s="1230"/>
      <c r="FX208" s="1231"/>
      <c r="FY208" s="1231"/>
      <c r="FZ208" s="1152"/>
      <c r="GA208" s="1153"/>
    </row>
    <row r="209" spans="158:183" x14ac:dyDescent="0.35">
      <c r="FB209" s="1230"/>
      <c r="FC209" s="1230"/>
      <c r="FD209" s="1230"/>
      <c r="FE209" s="1104">
        <v>42405</v>
      </c>
      <c r="FF209" s="1055">
        <v>1</v>
      </c>
      <c r="FG209" s="1055">
        <v>84.810400000000001</v>
      </c>
      <c r="FH209" s="1230"/>
      <c r="FI209" s="1230"/>
      <c r="FJ209" s="1230"/>
      <c r="FK209" s="1230"/>
      <c r="FL209" s="1230"/>
      <c r="FM209" s="1230"/>
      <c r="FN209" s="1230"/>
      <c r="FO209" s="1230"/>
      <c r="FP209" s="1230"/>
      <c r="FQ209" s="1230"/>
      <c r="FR209" s="1230"/>
      <c r="FS209" s="1230"/>
      <c r="FT209" s="1230"/>
      <c r="FU209" s="1230"/>
      <c r="FV209" s="1230"/>
      <c r="FW209" s="1230"/>
      <c r="FX209" s="1231"/>
      <c r="FY209" s="1231"/>
      <c r="FZ209" s="1152"/>
      <c r="GA209" s="1153"/>
    </row>
    <row r="210" spans="158:183" x14ac:dyDescent="0.35">
      <c r="FB210" s="1230"/>
      <c r="FC210" s="1230"/>
      <c r="FD210" s="1230"/>
      <c r="FE210" s="1104">
        <v>42406</v>
      </c>
      <c r="FF210" s="1055">
        <v>1</v>
      </c>
      <c r="FG210" s="1055">
        <v>86.575400000000002</v>
      </c>
      <c r="FH210" s="1230"/>
      <c r="FI210" s="1230"/>
      <c r="FJ210" s="1230"/>
      <c r="FK210" s="1230"/>
      <c r="FL210" s="1230"/>
      <c r="FM210" s="1230"/>
      <c r="FN210" s="1230"/>
      <c r="FO210" s="1230"/>
      <c r="FP210" s="1230"/>
      <c r="FQ210" s="1230"/>
      <c r="FR210" s="1230"/>
      <c r="FS210" s="1230"/>
      <c r="FT210" s="1230"/>
      <c r="FU210" s="1230"/>
      <c r="FV210" s="1230"/>
      <c r="FW210" s="1230"/>
      <c r="FX210" s="1231"/>
      <c r="FY210" s="1231"/>
      <c r="FZ210" s="1152"/>
      <c r="GA210" s="1153"/>
    </row>
    <row r="211" spans="158:183" x14ac:dyDescent="0.35">
      <c r="FB211" s="1230"/>
      <c r="FC211" s="1230"/>
      <c r="FD211" s="1230"/>
      <c r="FE211" s="1104">
        <v>42409</v>
      </c>
      <c r="FF211" s="1055">
        <v>1</v>
      </c>
      <c r="FG211" s="1055">
        <v>85.654300000000006</v>
      </c>
      <c r="FH211" s="1230"/>
      <c r="FI211" s="1230"/>
      <c r="FJ211" s="1230"/>
      <c r="FK211" s="1230"/>
      <c r="FL211" s="1230"/>
      <c r="FM211" s="1230"/>
      <c r="FN211" s="1230"/>
      <c r="FO211" s="1230"/>
      <c r="FP211" s="1230"/>
      <c r="FQ211" s="1230"/>
      <c r="FR211" s="1230"/>
      <c r="FS211" s="1230"/>
      <c r="FT211" s="1230"/>
      <c r="FU211" s="1230"/>
      <c r="FV211" s="1230"/>
      <c r="FW211" s="1230"/>
      <c r="FX211" s="1231"/>
      <c r="FY211" s="1231"/>
      <c r="FZ211" s="1152"/>
      <c r="GA211" s="1153"/>
    </row>
    <row r="212" spans="158:183" x14ac:dyDescent="0.35">
      <c r="FB212" s="1230"/>
      <c r="FC212" s="1230"/>
      <c r="FD212" s="1230"/>
      <c r="FE212" s="1055"/>
      <c r="FF212" s="1055"/>
      <c r="FG212" s="1055"/>
      <c r="FH212" s="1230"/>
      <c r="FI212" s="1230"/>
      <c r="FJ212" s="1230"/>
      <c r="FK212" s="1230"/>
      <c r="FL212" s="1230"/>
      <c r="FM212" s="1230"/>
      <c r="FN212" s="1230"/>
      <c r="FO212" s="1230"/>
      <c r="FP212" s="1230"/>
      <c r="FQ212" s="1230"/>
      <c r="FR212" s="1230"/>
      <c r="FS212" s="1230"/>
      <c r="FT212" s="1230"/>
      <c r="FU212" s="1230"/>
      <c r="FV212" s="1230"/>
      <c r="FW212" s="1230"/>
      <c r="FX212" s="1231"/>
      <c r="FY212" s="1231"/>
      <c r="FZ212" s="1152"/>
      <c r="GA212" s="1153"/>
    </row>
    <row r="213" spans="158:183" x14ac:dyDescent="0.35">
      <c r="FB213" s="1230"/>
      <c r="FC213" s="1230"/>
      <c r="FD213" s="1230"/>
      <c r="FE213" s="1055"/>
      <c r="FF213" s="1055"/>
      <c r="FG213" s="1055"/>
      <c r="FH213" s="1230"/>
      <c r="FI213" s="1230"/>
      <c r="FJ213" s="1230"/>
      <c r="FK213" s="1230"/>
      <c r="FL213" s="1230"/>
      <c r="FM213" s="1230"/>
      <c r="FN213" s="1230"/>
      <c r="FO213" s="1230"/>
      <c r="FP213" s="1230"/>
      <c r="FQ213" s="1230"/>
      <c r="FR213" s="1230"/>
      <c r="FS213" s="1230"/>
      <c r="FT213" s="1230"/>
      <c r="FU213" s="1230"/>
      <c r="FV213" s="1230"/>
      <c r="FW213" s="1230"/>
      <c r="FX213" s="1231"/>
      <c r="FY213" s="1231"/>
      <c r="FZ213" s="1152"/>
      <c r="GA213" s="1153"/>
    </row>
    <row r="214" spans="158:183" x14ac:dyDescent="0.35">
      <c r="FB214" s="1230"/>
      <c r="FC214" s="1230"/>
      <c r="FD214" s="1230"/>
      <c r="FE214" s="1055"/>
      <c r="FF214" s="1055"/>
      <c r="FG214" s="1055"/>
      <c r="FH214" s="1230"/>
      <c r="FI214" s="1230"/>
      <c r="FJ214" s="1230"/>
      <c r="FK214" s="1230"/>
      <c r="FL214" s="1230"/>
      <c r="FM214" s="1230"/>
      <c r="FN214" s="1230"/>
      <c r="FO214" s="1230"/>
      <c r="FP214" s="1230"/>
      <c r="FQ214" s="1230"/>
      <c r="FR214" s="1230"/>
      <c r="FS214" s="1230"/>
      <c r="FT214" s="1230"/>
      <c r="FU214" s="1230"/>
      <c r="FV214" s="1230"/>
      <c r="FW214" s="1230"/>
      <c r="FX214" s="1231"/>
      <c r="FY214" s="1231"/>
      <c r="FZ214" s="1152"/>
      <c r="GA214" s="1153"/>
    </row>
    <row r="215" spans="158:183" x14ac:dyDescent="0.35">
      <c r="FB215" s="1230"/>
      <c r="FC215" s="1230"/>
      <c r="FD215" s="1230"/>
      <c r="FE215" s="1055" t="s">
        <v>1886</v>
      </c>
      <c r="FF215" s="1055"/>
      <c r="FG215" s="1055"/>
      <c r="FH215" s="1230"/>
      <c r="FI215" s="1230"/>
      <c r="FJ215" s="1230"/>
      <c r="FK215" s="1230"/>
      <c r="FL215" s="1230"/>
      <c r="FM215" s="1230"/>
      <c r="FN215" s="1230"/>
      <c r="FO215" s="1230"/>
      <c r="FP215" s="1230"/>
      <c r="FQ215" s="1230"/>
      <c r="FR215" s="1230"/>
      <c r="FS215" s="1230"/>
      <c r="FT215" s="1230"/>
      <c r="FU215" s="1230"/>
      <c r="FV215" s="1230"/>
      <c r="FW215" s="1230"/>
      <c r="FX215" s="1231"/>
      <c r="FY215" s="1231"/>
      <c r="FZ215" s="1152"/>
      <c r="GA215" s="1153"/>
    </row>
    <row r="216" spans="158:183" x14ac:dyDescent="0.35">
      <c r="FB216" s="1230"/>
      <c r="FC216" s="1230"/>
      <c r="FD216" s="1230"/>
      <c r="FE216" s="1055" t="s">
        <v>2565</v>
      </c>
      <c r="FF216" s="1055"/>
      <c r="FG216" s="1055"/>
      <c r="FH216" s="1230"/>
      <c r="FI216" s="1230"/>
      <c r="FJ216" s="1230"/>
      <c r="FK216" s="1230"/>
      <c r="FL216" s="1230"/>
      <c r="FM216" s="1230"/>
      <c r="FN216" s="1230"/>
      <c r="FO216" s="1230"/>
      <c r="FP216" s="1230"/>
      <c r="FQ216" s="1230"/>
      <c r="FR216" s="1230"/>
      <c r="FS216" s="1230"/>
      <c r="FT216" s="1230"/>
      <c r="FU216" s="1230"/>
      <c r="FV216" s="1230"/>
      <c r="FW216" s="1230"/>
      <c r="FX216" s="1231"/>
      <c r="FY216" s="1231"/>
      <c r="FZ216" s="1152"/>
      <c r="GA216" s="1153"/>
    </row>
    <row r="217" spans="158:183" x14ac:dyDescent="0.35">
      <c r="FB217" s="1230"/>
      <c r="FC217" s="1230"/>
      <c r="FD217" s="1230"/>
      <c r="FE217" s="1055"/>
      <c r="FF217" s="1055"/>
      <c r="FG217" s="1055"/>
      <c r="FH217" s="1230"/>
      <c r="FI217" s="1230"/>
      <c r="FJ217" s="1230"/>
      <c r="FK217" s="1230"/>
      <c r="FL217" s="1230"/>
      <c r="FM217" s="1230"/>
      <c r="FN217" s="1230"/>
      <c r="FO217" s="1230"/>
      <c r="FP217" s="1230"/>
      <c r="FQ217" s="1230"/>
      <c r="FR217" s="1230"/>
      <c r="FS217" s="1230"/>
      <c r="FT217" s="1230"/>
      <c r="FU217" s="1230"/>
      <c r="FV217" s="1230"/>
      <c r="FW217" s="1230"/>
      <c r="FX217" s="1231"/>
      <c r="FY217" s="1231"/>
      <c r="FZ217" s="1152"/>
      <c r="GA217" s="1153"/>
    </row>
    <row r="218" spans="158:183" x14ac:dyDescent="0.35">
      <c r="FB218" s="1230"/>
      <c r="FC218" s="1230"/>
      <c r="FD218" s="1230"/>
      <c r="FE218" s="1055"/>
      <c r="FF218" s="1055"/>
      <c r="FG218" s="1055"/>
      <c r="FH218" s="1230"/>
      <c r="FI218" s="1230"/>
      <c r="FJ218" s="1230"/>
      <c r="FK218" s="1230"/>
      <c r="FL218" s="1230"/>
      <c r="FM218" s="1230"/>
      <c r="FN218" s="1230"/>
      <c r="FO218" s="1230"/>
      <c r="FP218" s="1230"/>
      <c r="FQ218" s="1230"/>
      <c r="FR218" s="1230"/>
      <c r="FS218" s="1230"/>
      <c r="FT218" s="1230"/>
      <c r="FU218" s="1230"/>
      <c r="FV218" s="1230"/>
      <c r="FW218" s="1230"/>
      <c r="FX218" s="1231"/>
      <c r="FY218" s="1231"/>
      <c r="FZ218" s="1152"/>
      <c r="GA218" s="1153"/>
    </row>
    <row r="219" spans="158:183" x14ac:dyDescent="0.35">
      <c r="FB219" s="1230"/>
      <c r="FC219" s="1230"/>
      <c r="FD219" s="1230"/>
      <c r="FE219" s="1055"/>
      <c r="FF219" s="1055"/>
      <c r="FG219" s="1055"/>
      <c r="FH219" s="1230"/>
      <c r="FI219" s="1230"/>
      <c r="FJ219" s="1230"/>
      <c r="FK219" s="1230"/>
      <c r="FL219" s="1230"/>
      <c r="FM219" s="1230"/>
      <c r="FN219" s="1230"/>
      <c r="FO219" s="1230"/>
      <c r="FP219" s="1230"/>
      <c r="FQ219" s="1230"/>
      <c r="FR219" s="1230"/>
      <c r="FS219" s="1230"/>
      <c r="FT219" s="1230"/>
      <c r="FU219" s="1230"/>
      <c r="FV219" s="1230"/>
      <c r="FW219" s="1230"/>
      <c r="FX219" s="1231"/>
      <c r="FY219" s="1231"/>
      <c r="FZ219" s="1152"/>
      <c r="GA219" s="1153"/>
    </row>
    <row r="220" spans="158:183" x14ac:dyDescent="0.35">
      <c r="FB220" s="1230"/>
      <c r="FC220" s="1230"/>
      <c r="FD220" s="1230"/>
      <c r="FE220" s="1055"/>
      <c r="FF220" s="1055"/>
      <c r="FG220" s="1055"/>
      <c r="FH220" s="1230"/>
      <c r="FI220" s="1230"/>
      <c r="FJ220" s="1230"/>
      <c r="FK220" s="1230"/>
      <c r="FL220" s="1230"/>
      <c r="FM220" s="1230"/>
      <c r="FN220" s="1230"/>
      <c r="FO220" s="1230"/>
      <c r="FP220" s="1230"/>
      <c r="FQ220" s="1230"/>
      <c r="FR220" s="1230"/>
      <c r="FS220" s="1230"/>
      <c r="FT220" s="1230"/>
      <c r="FU220" s="1230"/>
      <c r="FV220" s="1230"/>
      <c r="FW220" s="1230"/>
      <c r="FX220" s="1231"/>
      <c r="FY220" s="1231"/>
      <c r="FZ220" s="1152"/>
      <c r="GA220" s="1153"/>
    </row>
    <row r="221" spans="158:183" x14ac:dyDescent="0.35">
      <c r="FB221" s="1230"/>
      <c r="FC221" s="1230"/>
      <c r="FD221" s="1230"/>
      <c r="FE221" s="1055"/>
      <c r="FF221" s="1055"/>
      <c r="FG221" s="1055"/>
      <c r="FH221" s="1230"/>
      <c r="FI221" s="1230"/>
      <c r="FJ221" s="1230"/>
      <c r="FK221" s="1230"/>
      <c r="FL221" s="1230"/>
      <c r="FM221" s="1230"/>
      <c r="FN221" s="1230"/>
      <c r="FO221" s="1230"/>
      <c r="FP221" s="1230"/>
      <c r="FQ221" s="1230"/>
      <c r="FR221" s="1230"/>
      <c r="FS221" s="1230"/>
      <c r="FT221" s="1230"/>
      <c r="FU221" s="1230"/>
      <c r="FV221" s="1230"/>
      <c r="FW221" s="1230"/>
      <c r="FX221" s="1231"/>
      <c r="FY221" s="1231"/>
      <c r="FZ221" s="1152"/>
      <c r="GA221" s="1153"/>
    </row>
    <row r="222" spans="158:183" x14ac:dyDescent="0.35">
      <c r="FB222" s="1230"/>
      <c r="FC222" s="1230"/>
      <c r="FD222" s="1230"/>
      <c r="FE222" s="1055"/>
      <c r="FF222" s="1055"/>
      <c r="FG222" s="1055"/>
      <c r="FH222" s="1230"/>
      <c r="FI222" s="1230"/>
      <c r="FJ222" s="1230"/>
      <c r="FK222" s="1230"/>
      <c r="FL222" s="1230"/>
      <c r="FM222" s="1230"/>
      <c r="FN222" s="1230"/>
      <c r="FO222" s="1230"/>
      <c r="FP222" s="1230"/>
      <c r="FQ222" s="1230"/>
      <c r="FR222" s="1230"/>
      <c r="FS222" s="1230"/>
      <c r="FT222" s="1230"/>
      <c r="FU222" s="1230"/>
      <c r="FV222" s="1230"/>
      <c r="FW222" s="1230"/>
      <c r="FX222" s="1231"/>
      <c r="FY222" s="1231"/>
      <c r="FZ222" s="1152"/>
      <c r="GA222" s="1153"/>
    </row>
    <row r="223" spans="158:183" x14ac:dyDescent="0.35">
      <c r="FB223" s="1230"/>
      <c r="FC223" s="1230"/>
      <c r="FD223" s="1230"/>
      <c r="FE223" s="1055"/>
      <c r="FF223" s="1055"/>
      <c r="FG223" s="1055"/>
      <c r="FH223" s="1230"/>
      <c r="FI223" s="1230"/>
      <c r="FJ223" s="1230"/>
      <c r="FK223" s="1230"/>
      <c r="FL223" s="1230"/>
      <c r="FM223" s="1230"/>
      <c r="FN223" s="1230"/>
      <c r="FO223" s="1230"/>
      <c r="FP223" s="1230"/>
      <c r="FQ223" s="1230"/>
      <c r="FR223" s="1230"/>
      <c r="FS223" s="1230"/>
      <c r="FT223" s="1230"/>
      <c r="FU223" s="1230"/>
      <c r="FV223" s="1230"/>
      <c r="FW223" s="1230"/>
      <c r="FX223" s="1231"/>
      <c r="FY223" s="1231"/>
      <c r="FZ223" s="1152"/>
      <c r="GA223" s="1153"/>
    </row>
    <row r="224" spans="158:183" x14ac:dyDescent="0.35">
      <c r="FB224" s="1230"/>
      <c r="FC224" s="1230"/>
      <c r="FD224" s="1230"/>
      <c r="FE224" s="1055"/>
      <c r="FF224" s="1055"/>
      <c r="FG224" s="1055"/>
      <c r="FH224" s="1230"/>
      <c r="FI224" s="1230"/>
      <c r="FJ224" s="1230"/>
      <c r="FK224" s="1230"/>
      <c r="FL224" s="1230"/>
      <c r="FM224" s="1230"/>
      <c r="FN224" s="1230"/>
      <c r="FO224" s="1230"/>
      <c r="FP224" s="1230"/>
      <c r="FQ224" s="1230"/>
      <c r="FR224" s="1230"/>
      <c r="FS224" s="1230"/>
      <c r="FT224" s="1230"/>
      <c r="FU224" s="1230"/>
      <c r="FV224" s="1230"/>
      <c r="FW224" s="1230"/>
      <c r="FX224" s="1231"/>
      <c r="FY224" s="1231"/>
      <c r="FZ224" s="1152"/>
      <c r="GA224" s="1153"/>
    </row>
    <row r="225" spans="2:183" x14ac:dyDescent="0.35">
      <c r="FB225" s="1230"/>
      <c r="FC225" s="1230"/>
      <c r="FD225" s="1230"/>
      <c r="FE225" s="1055"/>
      <c r="FF225" s="1055"/>
      <c r="FG225" s="1055"/>
      <c r="FH225" s="1230"/>
      <c r="FI225" s="1230"/>
      <c r="FJ225" s="1230"/>
      <c r="FK225" s="1230"/>
      <c r="FL225" s="1230"/>
      <c r="FM225" s="1230"/>
      <c r="FN225" s="1230"/>
      <c r="FO225" s="1230"/>
      <c r="FP225" s="1230"/>
      <c r="FQ225" s="1230"/>
      <c r="FR225" s="1230"/>
      <c r="FS225" s="1230"/>
      <c r="FT225" s="1230"/>
      <c r="FU225" s="1230"/>
      <c r="FV225" s="1230"/>
      <c r="FW225" s="1230"/>
      <c r="FX225" s="1231"/>
      <c r="FY225" s="1231"/>
      <c r="FZ225" s="1152"/>
      <c r="GA225" s="1153"/>
    </row>
    <row r="226" spans="2:183" x14ac:dyDescent="0.35">
      <c r="FB226" s="1230"/>
      <c r="FC226" s="1230"/>
      <c r="FD226" s="1230"/>
      <c r="FE226" s="1055"/>
      <c r="FF226" s="1055"/>
      <c r="FG226" s="1055"/>
      <c r="FH226" s="1230"/>
      <c r="FI226" s="1230"/>
      <c r="FJ226" s="1230"/>
      <c r="FK226" s="1230"/>
      <c r="FL226" s="1230"/>
      <c r="FM226" s="1230"/>
      <c r="FN226" s="1230"/>
      <c r="FO226" s="1230"/>
      <c r="FP226" s="1230"/>
      <c r="FQ226" s="1230"/>
      <c r="FR226" s="1230"/>
      <c r="FS226" s="1230"/>
      <c r="FT226" s="1230"/>
      <c r="FU226" s="1230"/>
      <c r="FV226" s="1230"/>
      <c r="FW226" s="1230"/>
      <c r="FX226" s="1231"/>
      <c r="FY226" s="1231"/>
      <c r="FZ226" s="1152"/>
      <c r="GA226" s="1153"/>
    </row>
    <row r="227" spans="2:183" x14ac:dyDescent="0.35">
      <c r="FB227" s="1230"/>
      <c r="FC227" s="1230"/>
      <c r="FD227" s="1230"/>
      <c r="FE227" s="1055"/>
      <c r="FF227" s="1055"/>
      <c r="FG227" s="1055"/>
      <c r="FH227" s="1230"/>
      <c r="FI227" s="1230"/>
      <c r="FJ227" s="1230"/>
      <c r="FK227" s="1230"/>
      <c r="FL227" s="1230"/>
      <c r="FM227" s="1230"/>
      <c r="FN227" s="1230"/>
      <c r="FO227" s="1230"/>
      <c r="FP227" s="1230"/>
      <c r="FQ227" s="1230"/>
      <c r="FR227" s="1230"/>
      <c r="FS227" s="1230"/>
      <c r="FT227" s="1230"/>
      <c r="FU227" s="1230"/>
      <c r="FV227" s="1230"/>
      <c r="FW227" s="1230"/>
      <c r="FX227" s="1231"/>
      <c r="FY227" s="1231"/>
      <c r="FZ227" s="1152"/>
      <c r="GA227" s="1153"/>
    </row>
    <row r="228" spans="2:183" x14ac:dyDescent="0.35">
      <c r="FB228" s="1230"/>
      <c r="FC228" s="1230"/>
      <c r="FD228" s="1230"/>
      <c r="FE228" s="1055"/>
      <c r="FF228" s="1055"/>
      <c r="FG228" s="1055"/>
      <c r="FH228" s="1230"/>
      <c r="FI228" s="1230"/>
      <c r="FJ228" s="1230"/>
      <c r="FK228" s="1230"/>
      <c r="FL228" s="1230"/>
      <c r="FM228" s="1230"/>
      <c r="FN228" s="1230"/>
      <c r="FO228" s="1230"/>
      <c r="FP228" s="1230"/>
      <c r="FQ228" s="1230"/>
      <c r="FR228" s="1230"/>
      <c r="FS228" s="1230"/>
      <c r="FT228" s="1230"/>
      <c r="FU228" s="1230"/>
      <c r="FV228" s="1230"/>
      <c r="FW228" s="1230"/>
      <c r="FX228" s="1231"/>
      <c r="FY228" s="1231"/>
      <c r="FZ228" s="1152"/>
      <c r="GA228" s="1153"/>
    </row>
    <row r="229" spans="2:183" x14ac:dyDescent="0.35">
      <c r="FB229" s="1230"/>
      <c r="FC229" s="1230"/>
      <c r="FD229" s="1230"/>
      <c r="FE229" s="1055"/>
      <c r="FF229" s="1055"/>
      <c r="FG229" s="1055"/>
      <c r="FH229" s="1230"/>
      <c r="FI229" s="1230"/>
      <c r="FJ229" s="1230"/>
      <c r="FK229" s="1230"/>
      <c r="FL229" s="1230"/>
      <c r="FM229" s="1230"/>
      <c r="FN229" s="1230"/>
      <c r="FO229" s="1230"/>
      <c r="FP229" s="1230"/>
      <c r="FQ229" s="1230"/>
      <c r="FR229" s="1230"/>
      <c r="FS229" s="1230"/>
      <c r="FT229" s="1230"/>
      <c r="FU229" s="1230"/>
      <c r="FV229" s="1230"/>
      <c r="FW229" s="1230"/>
      <c r="FX229" s="1231"/>
      <c r="FY229" s="1231"/>
      <c r="FZ229" s="1152"/>
      <c r="GA229" s="1153"/>
    </row>
    <row r="230" spans="2:183" x14ac:dyDescent="0.35">
      <c r="L230" s="1232"/>
      <c r="M230" s="1232"/>
      <c r="N230" s="1232"/>
      <c r="O230" s="1232"/>
      <c r="P230" s="1232"/>
      <c r="Q230" s="1232"/>
      <c r="R230" s="1232"/>
      <c r="S230" s="1232"/>
      <c r="T230" s="1232"/>
      <c r="U230" s="1232"/>
      <c r="FB230" s="1230"/>
      <c r="FC230" s="1230"/>
      <c r="FD230" s="1230"/>
      <c r="FE230" s="1055"/>
      <c r="FF230" s="1055"/>
      <c r="FG230" s="1055"/>
      <c r="FH230" s="1230"/>
      <c r="FI230" s="1230"/>
      <c r="FJ230" s="1230"/>
      <c r="FK230" s="1230"/>
      <c r="FL230" s="1230"/>
      <c r="FM230" s="1230"/>
      <c r="FN230" s="1230"/>
      <c r="FO230" s="1230"/>
      <c r="FP230" s="1230"/>
      <c r="FQ230" s="1230"/>
      <c r="FR230" s="1230"/>
      <c r="FS230" s="1230"/>
      <c r="FT230" s="1230"/>
      <c r="FU230" s="1230"/>
      <c r="FV230" s="1230"/>
      <c r="FW230" s="1230"/>
      <c r="FX230" s="1231"/>
      <c r="FY230" s="1231"/>
      <c r="FZ230" s="1152"/>
      <c r="GA230" s="1153"/>
    </row>
    <row r="231" spans="2:183" x14ac:dyDescent="0.35">
      <c r="L231" s="1232"/>
      <c r="M231" s="1232"/>
      <c r="N231" s="1232"/>
      <c r="O231" s="1232"/>
      <c r="P231" s="1232"/>
      <c r="Q231" s="1232"/>
      <c r="R231" s="1232"/>
      <c r="S231" s="1232"/>
      <c r="T231" s="1232"/>
      <c r="U231" s="1232"/>
      <c r="FB231" s="1230"/>
      <c r="FC231" s="1230"/>
      <c r="FD231" s="1230"/>
      <c r="FE231" s="1055"/>
      <c r="FF231" s="1055"/>
      <c r="FG231" s="1055"/>
      <c r="FH231" s="1230"/>
      <c r="FI231" s="1230"/>
      <c r="FJ231" s="1230"/>
      <c r="FK231" s="1230"/>
      <c r="FL231" s="1230"/>
      <c r="FM231" s="1230"/>
      <c r="FN231" s="1230"/>
      <c r="FO231" s="1230"/>
      <c r="FP231" s="1230"/>
      <c r="FQ231" s="1230"/>
      <c r="FR231" s="1230"/>
      <c r="FS231" s="1230"/>
      <c r="FT231" s="1230"/>
      <c r="FU231" s="1230"/>
      <c r="FV231" s="1230"/>
      <c r="FW231" s="1230"/>
      <c r="FX231" s="1231"/>
      <c r="FY231" s="1231"/>
      <c r="FZ231" s="1152"/>
      <c r="GA231" s="1153"/>
    </row>
    <row r="232" spans="2:183" s="1232" customFormat="1" ht="5.25" hidden="1" customHeight="1" x14ac:dyDescent="0.15">
      <c r="B232" s="1116" t="s">
        <v>1771</v>
      </c>
      <c r="C232" s="1116" t="s">
        <v>1897</v>
      </c>
      <c r="D232" s="1116"/>
      <c r="EY232" s="1151"/>
      <c r="EZ232" s="1151"/>
      <c r="FA232" s="1151"/>
      <c r="FB232" s="1151"/>
      <c r="FC232" s="1151"/>
      <c r="FD232" s="1151"/>
      <c r="FE232" s="1055"/>
      <c r="FF232" s="1055"/>
      <c r="FG232" s="1055"/>
      <c r="FH232" s="1151"/>
      <c r="FI232" s="1151"/>
      <c r="FJ232" s="1151"/>
      <c r="FK232" s="1151"/>
      <c r="FL232" s="1151"/>
      <c r="FM232" s="1151"/>
      <c r="FN232" s="1151"/>
      <c r="FO232" s="1151"/>
      <c r="FP232" s="1151"/>
      <c r="FQ232" s="1151"/>
      <c r="FR232" s="1151"/>
      <c r="FS232" s="1151"/>
      <c r="FT232" s="1151"/>
      <c r="FU232" s="1151"/>
      <c r="FV232" s="1151"/>
      <c r="FW232" s="1151"/>
      <c r="FX232" s="1151"/>
      <c r="FY232" s="1151"/>
    </row>
    <row r="233" spans="2:183" s="1232" customFormat="1" ht="5.25" hidden="1" customHeight="1" x14ac:dyDescent="0.15">
      <c r="B233" s="1117" t="s">
        <v>1882</v>
      </c>
      <c r="C233" s="1154">
        <f ca="1">FV54</f>
        <v>3564.3183478736328</v>
      </c>
      <c r="D233" s="1154"/>
      <c r="EY233" s="1151"/>
      <c r="EZ233" s="1151"/>
      <c r="FA233" s="1151"/>
      <c r="FB233" s="1151"/>
      <c r="FC233" s="1151"/>
      <c r="FD233" s="1151"/>
      <c r="FE233" s="1055" t="s">
        <v>1887</v>
      </c>
      <c r="FF233" s="1055"/>
      <c r="FG233" s="1055"/>
      <c r="FH233" s="1151"/>
      <c r="FI233" s="1151"/>
      <c r="FJ233" s="1151"/>
      <c r="FK233" s="1151"/>
      <c r="FL233" s="1151"/>
      <c r="FM233" s="1151"/>
      <c r="FN233" s="1151"/>
      <c r="FO233" s="1151"/>
      <c r="FP233" s="1151"/>
      <c r="FQ233" s="1151"/>
      <c r="FR233" s="1151"/>
      <c r="FS233" s="1151"/>
      <c r="FT233" s="1151"/>
      <c r="FU233" s="1151"/>
      <c r="FV233" s="1151"/>
      <c r="FW233" s="1151"/>
      <c r="FX233" s="1151"/>
      <c r="FY233" s="1151"/>
    </row>
    <row r="234" spans="2:183" s="1232" customFormat="1" ht="5.25" hidden="1" customHeight="1" x14ac:dyDescent="0.15">
      <c r="B234" s="1117" t="s">
        <v>2006</v>
      </c>
      <c r="C234" s="1154">
        <f ca="1">FV56</f>
        <v>3398.5360991353245</v>
      </c>
      <c r="D234" s="1154"/>
      <c r="EY234" s="1151"/>
      <c r="EZ234" s="1151"/>
      <c r="FA234" s="1151"/>
      <c r="FB234" s="1151"/>
      <c r="FC234" s="1151"/>
      <c r="FD234" s="1151"/>
      <c r="FE234" s="1055" t="s">
        <v>1888</v>
      </c>
      <c r="FF234" s="1055"/>
      <c r="FG234" s="1055"/>
      <c r="FH234" s="1151"/>
      <c r="FI234" s="1151"/>
      <c r="FJ234" s="1151"/>
      <c r="FK234" s="1151"/>
      <c r="FL234" s="1151"/>
      <c r="FM234" s="1151"/>
      <c r="FN234" s="1151"/>
      <c r="FO234" s="1151"/>
      <c r="FP234" s="1151"/>
      <c r="FQ234" s="1151"/>
      <c r="FR234" s="1151"/>
      <c r="FS234" s="1151"/>
      <c r="FT234" s="1151"/>
      <c r="FU234" s="1151"/>
      <c r="FV234" s="1151"/>
      <c r="FW234" s="1151"/>
      <c r="FX234" s="1151"/>
      <c r="FY234" s="1151"/>
    </row>
    <row r="235" spans="2:183" s="1232" customFormat="1" ht="5.25" hidden="1" customHeight="1" x14ac:dyDescent="0.15">
      <c r="B235" s="1117" t="s">
        <v>1884</v>
      </c>
      <c r="C235" s="1154">
        <f ca="1">FV57</f>
        <v>5802.3751504638667</v>
      </c>
      <c r="D235" s="1154"/>
      <c r="EY235" s="1151"/>
      <c r="EZ235" s="1151"/>
      <c r="FA235" s="1151"/>
      <c r="FB235" s="1151"/>
      <c r="FC235" s="1151"/>
      <c r="FD235" s="1151"/>
      <c r="FE235" s="1055" t="s">
        <v>1889</v>
      </c>
      <c r="FF235" s="1055"/>
      <c r="FG235" s="1055"/>
      <c r="FH235" s="1151"/>
      <c r="FI235" s="1151"/>
      <c r="FJ235" s="1151"/>
      <c r="FK235" s="1151"/>
      <c r="FL235" s="1151"/>
      <c r="FM235" s="1151"/>
      <c r="FN235" s="1151"/>
      <c r="FO235" s="1151"/>
      <c r="FP235" s="1151"/>
      <c r="FQ235" s="1151"/>
      <c r="FR235" s="1151"/>
      <c r="FS235" s="1151"/>
      <c r="FT235" s="1151"/>
      <c r="FU235" s="1151"/>
      <c r="FV235" s="1151"/>
      <c r="FW235" s="1151"/>
      <c r="FX235" s="1151"/>
      <c r="FY235" s="1151"/>
    </row>
    <row r="236" spans="2:183" s="1232" customFormat="1" ht="5.25" hidden="1" customHeight="1" x14ac:dyDescent="0.15">
      <c r="B236" s="1117" t="s">
        <v>2007</v>
      </c>
      <c r="C236" s="1154">
        <f ca="1">FV58</f>
        <v>5387.9230839950278</v>
      </c>
      <c r="D236" s="1154"/>
      <c r="EY236" s="1151"/>
      <c r="EZ236" s="1151"/>
      <c r="FA236" s="1151"/>
      <c r="FB236" s="1151"/>
      <c r="FC236" s="1151"/>
      <c r="FD236" s="1151"/>
      <c r="FE236" s="1055" t="s">
        <v>1890</v>
      </c>
      <c r="FF236" s="1055"/>
      <c r="FG236" s="1055"/>
      <c r="FH236" s="1151"/>
      <c r="FI236" s="1151"/>
      <c r="FJ236" s="1151"/>
      <c r="FK236" s="1151"/>
      <c r="FL236" s="1151"/>
      <c r="FM236" s="1151"/>
      <c r="FN236" s="1151"/>
      <c r="FO236" s="1151"/>
      <c r="FP236" s="1151"/>
      <c r="FQ236" s="1151"/>
      <c r="FR236" s="1151"/>
      <c r="FS236" s="1151"/>
      <c r="FT236" s="1151"/>
      <c r="FU236" s="1151"/>
      <c r="FV236" s="1151"/>
      <c r="FW236" s="1151"/>
      <c r="FX236" s="1151"/>
      <c r="FY236" s="1151"/>
    </row>
    <row r="237" spans="2:183" s="1232" customFormat="1" ht="5.25" hidden="1" customHeight="1" x14ac:dyDescent="0.2">
      <c r="B237" s="1117" t="s">
        <v>2005</v>
      </c>
      <c r="C237" s="1154">
        <f ca="1">FV55</f>
        <v>3398.5360991353236</v>
      </c>
      <c r="D237" s="1154"/>
      <c r="L237" s="1153"/>
      <c r="M237" s="1153"/>
      <c r="N237" s="1153"/>
      <c r="O237" s="1153"/>
      <c r="P237" s="1153"/>
      <c r="Q237" s="1153"/>
      <c r="R237" s="1153"/>
      <c r="S237" s="1153"/>
      <c r="T237" s="1153"/>
      <c r="U237" s="1153"/>
      <c r="EY237" s="1151"/>
      <c r="EZ237" s="1151"/>
      <c r="FA237" s="1151"/>
      <c r="FB237" s="1151"/>
      <c r="FC237" s="1151"/>
      <c r="FD237" s="1151"/>
      <c r="FE237" s="1055" t="s">
        <v>2485</v>
      </c>
      <c r="FF237" s="1055"/>
      <c r="FG237" s="1055"/>
      <c r="FH237" s="1151"/>
      <c r="FI237" s="1151"/>
      <c r="FJ237" s="1151"/>
      <c r="FK237" s="1151"/>
      <c r="FL237" s="1151"/>
      <c r="FM237" s="1151"/>
      <c r="FN237" s="1151"/>
      <c r="FO237" s="1151"/>
      <c r="FP237" s="1151"/>
      <c r="FQ237" s="1151"/>
      <c r="FR237" s="1151"/>
      <c r="FS237" s="1151"/>
      <c r="FT237" s="1151"/>
      <c r="FU237" s="1151"/>
      <c r="FV237" s="1151"/>
      <c r="FW237" s="1151"/>
      <c r="FX237" s="1151"/>
      <c r="FY237" s="1151"/>
    </row>
    <row r="238" spans="2:183" s="1232" customFormat="1" ht="5.25" hidden="1" customHeight="1" x14ac:dyDescent="0.2">
      <c r="L238" s="1153"/>
      <c r="M238" s="1153"/>
      <c r="N238" s="1153"/>
      <c r="O238" s="1153"/>
      <c r="P238" s="1153"/>
      <c r="Q238" s="1153"/>
      <c r="R238" s="1153"/>
      <c r="S238" s="1153"/>
      <c r="T238" s="1153"/>
      <c r="U238" s="1153"/>
      <c r="EY238" s="1151"/>
      <c r="EZ238" s="1151"/>
      <c r="FA238" s="1151"/>
      <c r="FB238" s="1151"/>
      <c r="FC238" s="1151"/>
      <c r="FD238" s="1151"/>
      <c r="FE238" s="1055" t="s">
        <v>1891</v>
      </c>
      <c r="FF238" s="1055"/>
      <c r="FG238" s="1055"/>
      <c r="FH238" s="1151"/>
      <c r="FI238" s="1151"/>
      <c r="FJ238" s="1151"/>
      <c r="FK238" s="1151"/>
      <c r="FL238" s="1151"/>
      <c r="FM238" s="1151"/>
      <c r="FN238" s="1151"/>
      <c r="FO238" s="1151"/>
      <c r="FP238" s="1151"/>
      <c r="FQ238" s="1151"/>
      <c r="FR238" s="1151"/>
      <c r="FS238" s="1151"/>
      <c r="FT238" s="1151"/>
      <c r="FU238" s="1151"/>
      <c r="FV238" s="1151"/>
      <c r="FW238" s="1151"/>
      <c r="FX238" s="1151"/>
      <c r="FY238" s="1151"/>
    </row>
    <row r="239" spans="2:183" x14ac:dyDescent="0.35">
      <c r="FB239" s="1230"/>
      <c r="FC239" s="1230"/>
      <c r="FD239" s="1230"/>
      <c r="FE239" s="1055"/>
      <c r="FF239" s="1055"/>
      <c r="FG239" s="1055"/>
      <c r="FH239" s="1230"/>
      <c r="FI239" s="1230"/>
      <c r="FJ239" s="1230"/>
      <c r="FK239" s="1230"/>
      <c r="FL239" s="1230"/>
      <c r="FM239" s="1230"/>
      <c r="FN239" s="1230"/>
      <c r="FO239" s="1230"/>
      <c r="FP239" s="1230"/>
      <c r="FQ239" s="1230"/>
      <c r="FR239" s="1230"/>
      <c r="FS239" s="1230"/>
      <c r="FT239" s="1230"/>
      <c r="FU239" s="1230"/>
      <c r="FV239" s="1230"/>
      <c r="FW239" s="1230"/>
      <c r="FX239" s="1231"/>
      <c r="FY239" s="1231"/>
      <c r="FZ239" s="1152"/>
      <c r="GA239" s="1153"/>
    </row>
    <row r="240" spans="2:183" x14ac:dyDescent="0.35">
      <c r="FB240" s="1230"/>
      <c r="FC240" s="1230"/>
      <c r="FD240" s="1230"/>
      <c r="FE240" s="1055" t="s">
        <v>1892</v>
      </c>
      <c r="FF240" s="1055"/>
      <c r="FG240" s="1055"/>
      <c r="FH240" s="1230"/>
      <c r="FI240" s="1230"/>
      <c r="FJ240" s="1230"/>
      <c r="FK240" s="1230"/>
      <c r="FL240" s="1230"/>
      <c r="FM240" s="1230"/>
      <c r="FN240" s="1230"/>
      <c r="FO240" s="1230"/>
      <c r="FP240" s="1230"/>
      <c r="FQ240" s="1230"/>
      <c r="FR240" s="1230"/>
      <c r="FS240" s="1230"/>
      <c r="FT240" s="1230"/>
      <c r="FU240" s="1230"/>
      <c r="FV240" s="1230"/>
      <c r="FW240" s="1230"/>
      <c r="FX240" s="1231"/>
      <c r="FY240" s="1231"/>
      <c r="FZ240" s="1152"/>
      <c r="GA240" s="1153"/>
    </row>
    <row r="241" spans="158:183" x14ac:dyDescent="0.35">
      <c r="FB241" s="1230"/>
      <c r="FC241" s="1230"/>
      <c r="FD241" s="1230"/>
      <c r="FE241" s="1055"/>
      <c r="FF241" s="1055"/>
      <c r="FG241" s="1055"/>
      <c r="FH241" s="1230"/>
      <c r="FI241" s="1230"/>
      <c r="FJ241" s="1230"/>
      <c r="FK241" s="1230"/>
      <c r="FL241" s="1230"/>
      <c r="FM241" s="1230"/>
      <c r="FN241" s="1230"/>
      <c r="FO241" s="1230"/>
      <c r="FP241" s="1230"/>
      <c r="FQ241" s="1230"/>
      <c r="FR241" s="1230"/>
      <c r="FS241" s="1230"/>
      <c r="FT241" s="1230"/>
      <c r="FU241" s="1230"/>
      <c r="FV241" s="1230"/>
      <c r="FW241" s="1230"/>
      <c r="FX241" s="1231"/>
      <c r="FY241" s="1231"/>
      <c r="FZ241" s="1152"/>
      <c r="GA241" s="1153"/>
    </row>
    <row r="242" spans="158:183" x14ac:dyDescent="0.35">
      <c r="FB242" s="1230"/>
      <c r="FC242" s="1230"/>
      <c r="FD242" s="1230"/>
      <c r="FE242" s="1055" t="s">
        <v>1893</v>
      </c>
      <c r="FF242" s="1055"/>
      <c r="FG242" s="1055"/>
      <c r="FH242" s="1230"/>
      <c r="FI242" s="1230"/>
      <c r="FJ242" s="1230"/>
      <c r="FK242" s="1230"/>
      <c r="FL242" s="1230"/>
      <c r="FM242" s="1230"/>
      <c r="FN242" s="1230"/>
      <c r="FO242" s="1230"/>
      <c r="FP242" s="1230"/>
      <c r="FQ242" s="1230"/>
      <c r="FR242" s="1230"/>
      <c r="FS242" s="1230"/>
      <c r="FT242" s="1230"/>
      <c r="FU242" s="1230"/>
      <c r="FV242" s="1230"/>
      <c r="FW242" s="1230"/>
      <c r="FX242" s="1231"/>
      <c r="FY242" s="1231"/>
      <c r="FZ242" s="1152"/>
      <c r="GA242" s="1153"/>
    </row>
    <row r="243" spans="158:183" x14ac:dyDescent="0.35">
      <c r="FB243" s="1230"/>
      <c r="FC243" s="1230"/>
      <c r="FD243" s="1230"/>
      <c r="FE243" s="1055"/>
      <c r="FF243" s="1055"/>
      <c r="FG243" s="1055"/>
      <c r="FH243" s="1230"/>
      <c r="FI243" s="1230"/>
      <c r="FJ243" s="1230"/>
      <c r="FK243" s="1230"/>
      <c r="FL243" s="1230"/>
      <c r="FM243" s="1230"/>
      <c r="FN243" s="1230"/>
      <c r="FO243" s="1230"/>
      <c r="FP243" s="1230"/>
      <c r="FQ243" s="1230"/>
      <c r="FR243" s="1230"/>
      <c r="FS243" s="1230"/>
      <c r="FT243" s="1230"/>
      <c r="FU243" s="1230"/>
      <c r="FV243" s="1230"/>
      <c r="FW243" s="1230"/>
      <c r="FX243" s="1231"/>
      <c r="FY243" s="1231"/>
      <c r="FZ243" s="1152"/>
      <c r="GA243" s="1153"/>
    </row>
    <row r="244" spans="158:183" x14ac:dyDescent="0.35">
      <c r="FB244" s="1230"/>
      <c r="FC244" s="1230"/>
      <c r="FD244" s="1230"/>
      <c r="FE244" s="1055" t="s">
        <v>2263</v>
      </c>
      <c r="FF244" s="1055"/>
      <c r="FG244" s="1055"/>
      <c r="FH244" s="1230"/>
      <c r="FI244" s="1230"/>
      <c r="FJ244" s="1230"/>
      <c r="FK244" s="1230"/>
      <c r="FL244" s="1230"/>
      <c r="FM244" s="1230"/>
      <c r="FN244" s="1230"/>
      <c r="FO244" s="1230"/>
      <c r="FP244" s="1230"/>
      <c r="FQ244" s="1230"/>
      <c r="FR244" s="1230"/>
      <c r="FS244" s="1230"/>
      <c r="FT244" s="1230"/>
      <c r="FU244" s="1230"/>
      <c r="FV244" s="1230"/>
      <c r="FW244" s="1230"/>
      <c r="FX244" s="1231"/>
      <c r="FY244" s="1231"/>
      <c r="FZ244" s="1152"/>
      <c r="GA244" s="1153"/>
    </row>
    <row r="245" spans="158:183" x14ac:dyDescent="0.35">
      <c r="FB245" s="1230"/>
      <c r="FC245" s="1230"/>
      <c r="FD245" s="1230"/>
      <c r="FE245" s="1055"/>
      <c r="FF245" s="1055"/>
      <c r="FG245" s="1055"/>
      <c r="FH245" s="1230"/>
      <c r="FI245" s="1230"/>
      <c r="FJ245" s="1230"/>
      <c r="FK245" s="1230"/>
      <c r="FL245" s="1230"/>
      <c r="FM245" s="1230"/>
      <c r="FN245" s="1230"/>
      <c r="FO245" s="1230"/>
      <c r="FP245" s="1230"/>
      <c r="FQ245" s="1230"/>
      <c r="FR245" s="1230"/>
      <c r="FS245" s="1230"/>
      <c r="FT245" s="1230"/>
      <c r="FU245" s="1230"/>
      <c r="FV245" s="1230"/>
      <c r="FW245" s="1230"/>
      <c r="FX245" s="1231"/>
      <c r="FY245" s="1231"/>
      <c r="FZ245" s="1152"/>
      <c r="GA245" s="1153"/>
    </row>
    <row r="246" spans="158:183" x14ac:dyDescent="0.35">
      <c r="FB246" s="1230"/>
      <c r="FC246" s="1230"/>
      <c r="FD246" s="1230"/>
      <c r="FE246" s="1055" t="s">
        <v>1894</v>
      </c>
      <c r="FF246" s="1055"/>
      <c r="FG246" s="1055"/>
      <c r="FH246" s="1230"/>
      <c r="FI246" s="1230"/>
      <c r="FJ246" s="1230"/>
      <c r="FK246" s="1230"/>
      <c r="FL246" s="1230"/>
      <c r="FM246" s="1230"/>
      <c r="FN246" s="1230"/>
      <c r="FO246" s="1230"/>
      <c r="FP246" s="1230"/>
      <c r="FQ246" s="1230"/>
      <c r="FR246" s="1230"/>
      <c r="FS246" s="1230"/>
      <c r="FT246" s="1230"/>
      <c r="FU246" s="1230"/>
      <c r="FV246" s="1230"/>
      <c r="FW246" s="1230"/>
      <c r="FX246" s="1231"/>
      <c r="FY246" s="1231"/>
      <c r="FZ246" s="1152"/>
      <c r="GA246" s="1153"/>
    </row>
    <row r="247" spans="158:183" x14ac:dyDescent="0.35">
      <c r="FB247" s="1230"/>
      <c r="FC247" s="1230"/>
      <c r="FD247" s="1230"/>
      <c r="FE247" s="1055"/>
      <c r="FF247" s="1055"/>
      <c r="FG247" s="1055"/>
      <c r="FH247" s="1230"/>
      <c r="FI247" s="1230"/>
      <c r="FJ247" s="1230"/>
      <c r="FK247" s="1230"/>
      <c r="FL247" s="1230"/>
      <c r="FM247" s="1230"/>
      <c r="FN247" s="1230"/>
      <c r="FO247" s="1230"/>
      <c r="FP247" s="1230"/>
      <c r="FQ247" s="1230"/>
      <c r="FR247" s="1230"/>
      <c r="FS247" s="1230"/>
      <c r="FT247" s="1230"/>
      <c r="FU247" s="1230"/>
      <c r="FV247" s="1230"/>
      <c r="FW247" s="1230"/>
      <c r="FX247" s="1231"/>
      <c r="FY247" s="1231"/>
      <c r="FZ247" s="1152"/>
      <c r="GA247" s="1153"/>
    </row>
    <row r="248" spans="158:183" x14ac:dyDescent="0.35">
      <c r="FB248" s="1230"/>
      <c r="FC248" s="1230"/>
      <c r="FD248" s="1230"/>
      <c r="FE248" s="1055" t="s">
        <v>1895</v>
      </c>
      <c r="FF248" s="1055"/>
      <c r="FG248" s="1055"/>
      <c r="FH248" s="1230"/>
      <c r="FI248" s="1230"/>
      <c r="FJ248" s="1230"/>
      <c r="FK248" s="1230"/>
      <c r="FL248" s="1230"/>
      <c r="FM248" s="1230"/>
      <c r="FN248" s="1230"/>
      <c r="FO248" s="1230"/>
      <c r="FP248" s="1230"/>
      <c r="FQ248" s="1230"/>
      <c r="FR248" s="1230"/>
      <c r="FS248" s="1230"/>
      <c r="FT248" s="1230"/>
      <c r="FU248" s="1230"/>
      <c r="FV248" s="1230"/>
      <c r="FW248" s="1230"/>
      <c r="FX248" s="1231"/>
      <c r="FY248" s="1231"/>
      <c r="FZ248" s="1152"/>
      <c r="GA248" s="1153"/>
    </row>
    <row r="249" spans="158:183" x14ac:dyDescent="0.35">
      <c r="FB249" s="1230"/>
      <c r="FC249" s="1230"/>
      <c r="FD249" s="1230"/>
      <c r="FE249" s="1055"/>
      <c r="FF249" s="1055"/>
      <c r="FG249" s="1055"/>
      <c r="FH249" s="1230"/>
      <c r="FI249" s="1230"/>
      <c r="FJ249" s="1230"/>
      <c r="FK249" s="1230"/>
      <c r="FL249" s="1230"/>
      <c r="FM249" s="1230"/>
      <c r="FN249" s="1230"/>
      <c r="FO249" s="1230"/>
      <c r="FP249" s="1230"/>
      <c r="FQ249" s="1230"/>
      <c r="FR249" s="1230"/>
      <c r="FS249" s="1230"/>
      <c r="FT249" s="1230"/>
      <c r="FU249" s="1230"/>
      <c r="FV249" s="1230"/>
      <c r="FW249" s="1230"/>
      <c r="FX249" s="1231"/>
      <c r="FY249" s="1231"/>
      <c r="FZ249" s="1152"/>
      <c r="GA249" s="1153"/>
    </row>
    <row r="250" spans="158:183" x14ac:dyDescent="0.35">
      <c r="FB250" s="1230"/>
      <c r="FC250" s="1230"/>
      <c r="FD250" s="1230"/>
      <c r="FE250" s="1055" t="s">
        <v>1896</v>
      </c>
      <c r="FF250" s="1055"/>
      <c r="FG250" s="1055"/>
      <c r="FH250" s="1230"/>
      <c r="FI250" s="1230"/>
      <c r="FJ250" s="1230"/>
      <c r="FK250" s="1230"/>
      <c r="FL250" s="1230"/>
      <c r="FM250" s="1230"/>
      <c r="FN250" s="1230"/>
      <c r="FO250" s="1230"/>
      <c r="FP250" s="1230"/>
      <c r="FQ250" s="1230"/>
      <c r="FR250" s="1230"/>
      <c r="FS250" s="1230"/>
      <c r="FT250" s="1230"/>
      <c r="FU250" s="1230"/>
      <c r="FV250" s="1230"/>
      <c r="FW250" s="1230"/>
      <c r="FX250" s="1231"/>
      <c r="FY250" s="1231"/>
      <c r="FZ250" s="1152"/>
      <c r="GA250" s="1153"/>
    </row>
    <row r="251" spans="158:183" x14ac:dyDescent="0.35">
      <c r="FB251" s="1230"/>
      <c r="FC251" s="1230"/>
      <c r="FD251" s="1230"/>
      <c r="FE251" s="1614">
        <f>ROUND(223*(1-FD272),2)</f>
        <v>223</v>
      </c>
      <c r="FF251" s="1228"/>
      <c r="FG251" s="1228"/>
      <c r="FH251" s="1230"/>
      <c r="FI251" s="1230"/>
      <c r="FJ251" s="1230"/>
      <c r="FK251" s="1230"/>
      <c r="FL251" s="1230"/>
      <c r="FM251" s="1230"/>
      <c r="FN251" s="1230"/>
      <c r="FO251" s="1230"/>
      <c r="FP251" s="1230"/>
      <c r="FQ251" s="1230"/>
      <c r="FR251" s="1230"/>
      <c r="FS251" s="1230"/>
      <c r="FT251" s="1230"/>
      <c r="FU251" s="1230"/>
      <c r="FV251" s="1230"/>
      <c r="FW251" s="1230"/>
      <c r="FX251" s="1231"/>
      <c r="FY251" s="1231"/>
      <c r="FZ251" s="1152"/>
      <c r="GA251" s="1153"/>
    </row>
    <row r="252" spans="158:183" x14ac:dyDescent="0.35">
      <c r="FB252" s="1230"/>
      <c r="FC252" s="1230"/>
      <c r="FD252" s="1230"/>
      <c r="FE252" s="1615">
        <f>ROUND(244*(1-FD272),2)</f>
        <v>244</v>
      </c>
      <c r="FF252" s="1228"/>
      <c r="FG252" s="1228"/>
      <c r="FH252" s="1230"/>
      <c r="FI252" s="1230"/>
      <c r="FJ252" s="1230"/>
      <c r="FK252" s="1230"/>
      <c r="FL252" s="1230"/>
      <c r="FM252" s="1230"/>
      <c r="FN252" s="1230"/>
      <c r="FO252" s="1230"/>
      <c r="FP252" s="1230"/>
      <c r="FQ252" s="1230"/>
      <c r="FR252" s="1230"/>
      <c r="FS252" s="1230"/>
      <c r="FT252" s="1230"/>
      <c r="FU252" s="1230"/>
      <c r="FV252" s="1230"/>
      <c r="FW252" s="1230"/>
      <c r="FX252" s="1231"/>
      <c r="FY252" s="1231"/>
      <c r="FZ252" s="1152"/>
      <c r="GA252" s="1153"/>
    </row>
    <row r="253" spans="158:183" x14ac:dyDescent="0.35">
      <c r="FB253" s="1230"/>
      <c r="FC253" s="1230"/>
      <c r="FD253" s="1230"/>
      <c r="FE253" s="1614" t="s">
        <v>17</v>
      </c>
      <c r="FF253" s="1228"/>
      <c r="FG253" s="1228"/>
      <c r="FH253" s="1230"/>
      <c r="FI253" s="1230"/>
      <c r="FJ253" s="1230"/>
      <c r="FK253" s="1230"/>
      <c r="FL253" s="1230"/>
      <c r="FM253" s="1230"/>
      <c r="FN253" s="1230"/>
      <c r="FO253" s="1230"/>
      <c r="FP253" s="1230"/>
      <c r="FQ253" s="1230"/>
      <c r="FR253" s="1230"/>
      <c r="FS253" s="1230"/>
      <c r="FT253" s="1230"/>
      <c r="FU253" s="1230"/>
      <c r="FV253" s="1230"/>
      <c r="FW253" s="1230"/>
      <c r="FX253" s="1231"/>
      <c r="FY253" s="1231"/>
      <c r="FZ253" s="1152"/>
      <c r="GA253" s="1153"/>
    </row>
    <row r="254" spans="158:183" x14ac:dyDescent="0.35">
      <c r="FB254" s="1230"/>
      <c r="FC254" s="1230"/>
      <c r="FD254" s="1230"/>
      <c r="FE254" s="1615" t="s">
        <v>17</v>
      </c>
      <c r="FF254" s="1228"/>
      <c r="FG254" s="1228"/>
      <c r="FH254" s="1230"/>
      <c r="FI254" s="1230"/>
      <c r="FJ254" s="1230"/>
      <c r="FK254" s="1230"/>
      <c r="FL254" s="1230"/>
      <c r="FM254" s="1230"/>
      <c r="FN254" s="1230"/>
      <c r="FO254" s="1230"/>
      <c r="FP254" s="1230"/>
      <c r="FQ254" s="1230"/>
      <c r="FR254" s="1230"/>
      <c r="FS254" s="1230"/>
      <c r="FT254" s="1230"/>
      <c r="FU254" s="1230"/>
      <c r="FV254" s="1230"/>
      <c r="FW254" s="1230"/>
      <c r="FX254" s="1231"/>
      <c r="FY254" s="1231"/>
      <c r="FZ254" s="1152"/>
      <c r="GA254" s="1153"/>
    </row>
    <row r="255" spans="158:183" x14ac:dyDescent="0.35">
      <c r="FB255" s="1230"/>
      <c r="FC255" s="1230"/>
      <c r="FD255" s="1230"/>
      <c r="FE255" s="1614" t="s">
        <v>17</v>
      </c>
      <c r="FF255" s="1228"/>
      <c r="FG255" s="1228"/>
      <c r="FH255" s="1230"/>
      <c r="FI255" s="1230"/>
      <c r="FJ255" s="1230"/>
      <c r="FK255" s="1230"/>
      <c r="FL255" s="1230"/>
      <c r="FM255" s="1230"/>
      <c r="FN255" s="1230"/>
      <c r="FO255" s="1230"/>
      <c r="FP255" s="1230"/>
      <c r="FQ255" s="1230"/>
      <c r="FR255" s="1230"/>
      <c r="FS255" s="1230"/>
      <c r="FT255" s="1230"/>
      <c r="FU255" s="1230"/>
      <c r="FV255" s="1230"/>
      <c r="FW255" s="1230"/>
      <c r="FX255" s="1231"/>
      <c r="FY255" s="1231"/>
      <c r="FZ255" s="1152"/>
      <c r="GA255" s="1153"/>
    </row>
    <row r="256" spans="158:183" x14ac:dyDescent="0.35">
      <c r="FB256" s="1230"/>
      <c r="FC256" s="1230"/>
      <c r="FD256" s="1230"/>
      <c r="FE256" s="1615">
        <f>ROUND(219*(1-FD272),2)</f>
        <v>219</v>
      </c>
      <c r="FF256" s="1228"/>
      <c r="FG256" s="1228"/>
      <c r="FH256" s="1230"/>
      <c r="FI256" s="1230"/>
      <c r="FJ256" s="1230"/>
      <c r="FK256" s="1230"/>
      <c r="FL256" s="1230"/>
      <c r="FM256" s="1230"/>
      <c r="FN256" s="1230"/>
      <c r="FO256" s="1230"/>
      <c r="FP256" s="1230"/>
      <c r="FQ256" s="1230"/>
      <c r="FR256" s="1230"/>
      <c r="FS256" s="1230"/>
      <c r="FT256" s="1230"/>
      <c r="FU256" s="1230"/>
      <c r="FV256" s="1230"/>
      <c r="FW256" s="1230"/>
      <c r="FX256" s="1231"/>
      <c r="FY256" s="1231"/>
      <c r="FZ256" s="1152"/>
      <c r="GA256" s="1153"/>
    </row>
    <row r="257" spans="158:183" x14ac:dyDescent="0.35">
      <c r="FB257" s="1230"/>
      <c r="FC257" s="1230"/>
      <c r="FD257" s="1230"/>
      <c r="FE257" s="1635">
        <f>ROUND(214*(1-FD272),2)</f>
        <v>214</v>
      </c>
      <c r="FF257" s="1228"/>
      <c r="FG257" s="1228"/>
      <c r="FH257" s="1230"/>
      <c r="FI257" s="1230"/>
      <c r="FJ257" s="1230"/>
      <c r="FK257" s="1230"/>
      <c r="FL257" s="1230"/>
      <c r="FM257" s="1230"/>
      <c r="FN257" s="1230"/>
      <c r="FO257" s="1230"/>
      <c r="FP257" s="1230"/>
      <c r="FQ257" s="1230"/>
      <c r="FR257" s="1230"/>
      <c r="FS257" s="1230"/>
      <c r="FT257" s="1230"/>
      <c r="FU257" s="1230"/>
      <c r="FV257" s="1230"/>
      <c r="FW257" s="1230"/>
      <c r="FX257" s="1231"/>
      <c r="FY257" s="1231"/>
      <c r="FZ257" s="1152"/>
      <c r="GA257" s="1153"/>
    </row>
    <row r="258" spans="158:183" x14ac:dyDescent="0.35">
      <c r="FB258" s="1230"/>
      <c r="FC258" s="1230"/>
      <c r="FD258" s="1230"/>
      <c r="FE258" s="1635">
        <f>ROUND(219*(1-FD273),2)</f>
        <v>219</v>
      </c>
      <c r="FF258" s="1228"/>
      <c r="FG258" s="1228"/>
      <c r="FH258" s="1230"/>
      <c r="FI258" s="1230"/>
      <c r="FJ258" s="1230"/>
      <c r="FK258" s="1230"/>
      <c r="FL258" s="1230"/>
      <c r="FM258" s="1230"/>
      <c r="FN258" s="1230"/>
      <c r="FO258" s="1230"/>
      <c r="FP258" s="1230"/>
      <c r="FQ258" s="1230"/>
      <c r="FR258" s="1230"/>
      <c r="FS258" s="1230"/>
      <c r="FT258" s="1230"/>
      <c r="FU258" s="1230"/>
      <c r="FV258" s="1230"/>
      <c r="FW258" s="1230"/>
      <c r="FX258" s="1231"/>
      <c r="FY258" s="1231"/>
      <c r="FZ258" s="1152"/>
      <c r="GA258" s="1153"/>
    </row>
    <row r="259" spans="158:183" x14ac:dyDescent="0.35">
      <c r="FB259" s="1230"/>
      <c r="FC259" s="1230"/>
      <c r="FD259" s="1230"/>
      <c r="FE259" s="1055" t="s">
        <v>1896</v>
      </c>
      <c r="FF259" s="1228"/>
      <c r="FG259" s="1228"/>
      <c r="FH259" s="1230"/>
      <c r="FI259" s="1230"/>
      <c r="FJ259" s="1230"/>
      <c r="FK259" s="1230"/>
      <c r="FL259" s="1230"/>
      <c r="FM259" s="1230"/>
      <c r="FN259" s="1230"/>
      <c r="FO259" s="1230"/>
      <c r="FP259" s="1230"/>
      <c r="FQ259" s="1230"/>
      <c r="FR259" s="1230"/>
      <c r="FS259" s="1230"/>
      <c r="FT259" s="1230"/>
      <c r="FU259" s="1230"/>
      <c r="FV259" s="1230"/>
      <c r="FW259" s="1230"/>
      <c r="FX259" s="1231"/>
      <c r="FY259" s="1231"/>
      <c r="FZ259" s="1152"/>
      <c r="GA259" s="1153"/>
    </row>
    <row r="260" spans="158:183" x14ac:dyDescent="0.35">
      <c r="FB260" s="1230"/>
      <c r="FC260" s="1230"/>
      <c r="FD260" s="1230"/>
      <c r="FE260" s="1225"/>
      <c r="FF260" s="1228"/>
      <c r="FG260" s="1228"/>
      <c r="FH260" s="1230"/>
      <c r="FI260" s="1230"/>
      <c r="FJ260" s="1230"/>
      <c r="FK260" s="1230"/>
      <c r="FL260" s="1230"/>
      <c r="FM260" s="1230"/>
      <c r="FN260" s="1230"/>
      <c r="FO260" s="1230"/>
      <c r="FP260" s="1230"/>
      <c r="FQ260" s="1230"/>
      <c r="FR260" s="1230"/>
      <c r="FS260" s="1230"/>
      <c r="FT260" s="1230"/>
      <c r="FU260" s="1230"/>
      <c r="FV260" s="1230"/>
      <c r="FW260" s="1230"/>
      <c r="FX260" s="1231"/>
      <c r="FY260" s="1231"/>
      <c r="FZ260" s="1152"/>
      <c r="GA260" s="1153"/>
    </row>
    <row r="261" spans="158:183" x14ac:dyDescent="0.35">
      <c r="FB261" s="1230"/>
      <c r="FC261" s="1230"/>
      <c r="FD261" s="1230"/>
      <c r="FE261" s="1225"/>
      <c r="FF261" s="1228"/>
      <c r="FG261" s="1228"/>
      <c r="FH261" s="1230"/>
      <c r="FI261" s="1230"/>
      <c r="FJ261" s="1230"/>
      <c r="FK261" s="1230"/>
      <c r="FL261" s="1230"/>
      <c r="FM261" s="1230"/>
      <c r="FN261" s="1230"/>
      <c r="FO261" s="1230"/>
      <c r="FP261" s="1230"/>
      <c r="FQ261" s="1230"/>
      <c r="FR261" s="1230"/>
      <c r="FS261" s="1230"/>
      <c r="FT261" s="1230"/>
      <c r="FU261" s="1230"/>
      <c r="FV261" s="1230"/>
      <c r="FW261" s="1230"/>
      <c r="FX261" s="1231"/>
      <c r="FY261" s="1231"/>
      <c r="FZ261" s="1152"/>
      <c r="GA261" s="1153"/>
    </row>
    <row r="262" spans="158:183" x14ac:dyDescent="0.35">
      <c r="FB262" s="1230"/>
      <c r="FC262" s="1230"/>
      <c r="FD262" s="1230"/>
      <c r="FE262" s="1228"/>
      <c r="FF262" s="1228"/>
      <c r="FG262" s="1228"/>
      <c r="FH262" s="1230"/>
      <c r="FI262" s="1230"/>
      <c r="FJ262" s="1230"/>
      <c r="FK262" s="1230"/>
      <c r="FL262" s="1230"/>
      <c r="FM262" s="1230"/>
      <c r="FN262" s="1230"/>
      <c r="FO262" s="1230"/>
      <c r="FP262" s="1230"/>
      <c r="FQ262" s="1230"/>
      <c r="FR262" s="1230"/>
      <c r="FS262" s="1230"/>
      <c r="FT262" s="1230"/>
      <c r="FU262" s="1230"/>
      <c r="FV262" s="1230"/>
      <c r="FW262" s="1230"/>
      <c r="FX262" s="1231"/>
      <c r="FY262" s="1231"/>
      <c r="FZ262" s="1152"/>
      <c r="GA262" s="1153"/>
    </row>
    <row r="263" spans="158:183" x14ac:dyDescent="0.35">
      <c r="FB263" s="1230"/>
      <c r="FC263" s="1230"/>
      <c r="FD263" s="1230"/>
      <c r="FE263" s="1228"/>
      <c r="FF263" s="1228"/>
      <c r="FG263" s="1228"/>
      <c r="FH263" s="1230"/>
      <c r="FI263" s="1230"/>
      <c r="FJ263" s="1230"/>
      <c r="FK263" s="1230"/>
      <c r="FL263" s="1230"/>
      <c r="FM263" s="1230"/>
      <c r="FN263" s="1230"/>
      <c r="FO263" s="1230"/>
      <c r="FP263" s="1230"/>
      <c r="FQ263" s="1230"/>
      <c r="FR263" s="1230"/>
      <c r="FS263" s="1230"/>
      <c r="FT263" s="1230"/>
      <c r="FU263" s="1230"/>
      <c r="FV263" s="1230"/>
      <c r="FW263" s="1230"/>
      <c r="FX263" s="1231"/>
      <c r="FY263" s="1231"/>
      <c r="FZ263" s="1152"/>
      <c r="GA263" s="1153"/>
    </row>
    <row r="264" spans="158:183" x14ac:dyDescent="0.35">
      <c r="FB264" s="1230"/>
      <c r="FC264" s="1230"/>
      <c r="FD264" s="1230"/>
      <c r="FE264" s="1228"/>
      <c r="FF264" s="1228"/>
      <c r="FG264" s="1228"/>
      <c r="FH264" s="1230"/>
      <c r="FI264" s="1230"/>
      <c r="FJ264" s="1230"/>
      <c r="FK264" s="1230"/>
      <c r="FL264" s="1230"/>
      <c r="FM264" s="1230"/>
      <c r="FN264" s="1230"/>
      <c r="FO264" s="1230"/>
      <c r="FP264" s="1230"/>
      <c r="FQ264" s="1230"/>
      <c r="FR264" s="1230"/>
      <c r="FS264" s="1230"/>
      <c r="FT264" s="1230"/>
      <c r="FU264" s="1230"/>
      <c r="FV264" s="1230"/>
      <c r="FW264" s="1230"/>
      <c r="FX264" s="1231"/>
      <c r="FY264" s="1231"/>
      <c r="FZ264" s="1152"/>
      <c r="GA264" s="1153"/>
    </row>
    <row r="265" spans="158:183" x14ac:dyDescent="0.35">
      <c r="FB265" s="1230"/>
      <c r="FC265" s="1230"/>
      <c r="FD265" s="1230"/>
      <c r="FE265" s="1228"/>
      <c r="FF265" s="1228"/>
      <c r="FG265" s="1228"/>
      <c r="FH265" s="1230"/>
      <c r="FI265" s="1230"/>
      <c r="FJ265" s="1230"/>
      <c r="FK265" s="1230"/>
      <c r="FL265" s="1230"/>
      <c r="FM265" s="1230"/>
      <c r="FN265" s="1230"/>
      <c r="FO265" s="1230"/>
      <c r="FP265" s="1230"/>
      <c r="FQ265" s="1230"/>
      <c r="FR265" s="1230"/>
      <c r="FS265" s="1230"/>
      <c r="FT265" s="1230"/>
      <c r="FU265" s="1230"/>
      <c r="FV265" s="1230"/>
      <c r="FW265" s="1230"/>
      <c r="FX265" s="1231"/>
      <c r="FY265" s="1231"/>
      <c r="FZ265" s="1152"/>
      <c r="GA265" s="1153"/>
    </row>
    <row r="266" spans="158:183" x14ac:dyDescent="0.35">
      <c r="FB266" s="1230"/>
      <c r="FC266" s="1230"/>
      <c r="FD266" s="1230"/>
      <c r="FE266" s="1228"/>
      <c r="FF266" s="1228"/>
      <c r="FG266" s="1228"/>
      <c r="FH266" s="1230"/>
      <c r="FI266" s="1230"/>
      <c r="FJ266" s="1230"/>
      <c r="FK266" s="1230"/>
      <c r="FL266" s="1230"/>
      <c r="FM266" s="1230"/>
      <c r="FN266" s="1230"/>
      <c r="FO266" s="1230"/>
      <c r="FP266" s="1230"/>
      <c r="FQ266" s="1230"/>
      <c r="FR266" s="1230"/>
      <c r="FS266" s="1230"/>
      <c r="FT266" s="1230"/>
      <c r="FU266" s="1230"/>
      <c r="FV266" s="1230"/>
      <c r="FW266" s="1230"/>
      <c r="FX266" s="1231"/>
      <c r="FY266" s="1231"/>
      <c r="FZ266" s="1152"/>
      <c r="GA266" s="1153"/>
    </row>
    <row r="267" spans="158:183" x14ac:dyDescent="0.35">
      <c r="FB267" s="1230"/>
      <c r="FC267" s="1230"/>
      <c r="FD267" s="1230"/>
      <c r="FE267" s="1228"/>
      <c r="FF267" s="1228"/>
      <c r="FG267" s="1228"/>
      <c r="FH267" s="1230"/>
      <c r="FI267" s="1230"/>
      <c r="FJ267" s="1230"/>
      <c r="FK267" s="1230"/>
      <c r="FL267" s="1230"/>
      <c r="FM267" s="1230"/>
      <c r="FN267" s="1230"/>
      <c r="FO267" s="1230"/>
      <c r="FP267" s="1230"/>
      <c r="FQ267" s="1230"/>
      <c r="FR267" s="1230"/>
      <c r="FS267" s="1230"/>
      <c r="FT267" s="1230"/>
      <c r="FU267" s="1230"/>
      <c r="FV267" s="1230"/>
      <c r="FW267" s="1230"/>
      <c r="FX267" s="1231"/>
      <c r="FY267" s="1231"/>
      <c r="FZ267" s="1152"/>
      <c r="GA267" s="1153"/>
    </row>
    <row r="268" spans="158:183" x14ac:dyDescent="0.35">
      <c r="FB268" s="1230"/>
      <c r="FC268" s="1230"/>
      <c r="FD268" s="1230"/>
      <c r="FE268" s="1228"/>
      <c r="FF268" s="1228"/>
      <c r="FG268" s="1228"/>
      <c r="FH268" s="1230"/>
      <c r="FI268" s="1230"/>
      <c r="FJ268" s="1230"/>
      <c r="FK268" s="1230"/>
      <c r="FL268" s="1230"/>
      <c r="FM268" s="1230"/>
      <c r="FN268" s="1230"/>
      <c r="FO268" s="1230"/>
      <c r="FP268" s="1230"/>
      <c r="FQ268" s="1230"/>
      <c r="FR268" s="1230"/>
      <c r="FS268" s="1230"/>
      <c r="FT268" s="1230"/>
      <c r="FU268" s="1230"/>
      <c r="FV268" s="1230"/>
      <c r="FW268" s="1230"/>
      <c r="FX268" s="1231"/>
      <c r="FY268" s="1231"/>
      <c r="FZ268" s="1152"/>
      <c r="GA268" s="1153"/>
    </row>
    <row r="269" spans="158:183" x14ac:dyDescent="0.35">
      <c r="FB269" s="1230"/>
      <c r="FC269" s="1230"/>
      <c r="FD269" s="1230"/>
      <c r="FE269" s="1228"/>
      <c r="FF269" s="1228"/>
      <c r="FG269" s="1228"/>
      <c r="FH269" s="1230"/>
      <c r="FI269" s="1230"/>
      <c r="FJ269" s="1230"/>
      <c r="FK269" s="1230"/>
      <c r="FL269" s="1230"/>
      <c r="FM269" s="1230"/>
      <c r="FN269" s="1230"/>
      <c r="FO269" s="1230"/>
      <c r="FP269" s="1230"/>
      <c r="FQ269" s="1230"/>
      <c r="FR269" s="1230"/>
      <c r="FS269" s="1230"/>
      <c r="FT269" s="1230"/>
      <c r="FU269" s="1230"/>
      <c r="FV269" s="1230"/>
      <c r="FW269" s="1230"/>
      <c r="FX269" s="1231"/>
      <c r="FY269" s="1231"/>
      <c r="FZ269" s="1152"/>
      <c r="GA269" s="1153"/>
    </row>
    <row r="270" spans="158:183" x14ac:dyDescent="0.35">
      <c r="FB270" s="1230"/>
      <c r="FC270" s="1230"/>
      <c r="FD270" s="1230"/>
      <c r="FE270" s="1228"/>
      <c r="FF270" s="1228"/>
      <c r="FG270" s="1228"/>
      <c r="FH270" s="1230"/>
      <c r="FI270" s="1230"/>
      <c r="FJ270" s="1230"/>
      <c r="FK270" s="1230"/>
      <c r="FL270" s="1230"/>
      <c r="FM270" s="1230"/>
      <c r="FN270" s="1230"/>
      <c r="FO270" s="1230"/>
      <c r="FP270" s="1230"/>
      <c r="FQ270" s="1230"/>
      <c r="FR270" s="1230"/>
      <c r="FS270" s="1230"/>
      <c r="FT270" s="1230"/>
      <c r="FU270" s="1230"/>
      <c r="FV270" s="1230"/>
      <c r="FW270" s="1230"/>
      <c r="FX270" s="1231"/>
      <c r="FY270" s="1231"/>
      <c r="FZ270" s="1152"/>
      <c r="GA270" s="1153"/>
    </row>
    <row r="271" spans="158:183" x14ac:dyDescent="0.35">
      <c r="FB271" s="1230"/>
      <c r="FC271" s="1230"/>
      <c r="FD271" s="1230"/>
      <c r="FE271" s="1228"/>
      <c r="FF271" s="1228"/>
      <c r="FG271" s="1228"/>
      <c r="FH271" s="1230"/>
      <c r="FI271" s="1230"/>
      <c r="FJ271" s="1230"/>
      <c r="FK271" s="1230"/>
      <c r="FL271" s="1230"/>
      <c r="FM271" s="1230"/>
      <c r="FN271" s="1230"/>
      <c r="FO271" s="1230"/>
      <c r="FP271" s="1230"/>
      <c r="FQ271" s="1230"/>
      <c r="FR271" s="1230"/>
      <c r="FS271" s="1230"/>
      <c r="FT271" s="1230"/>
      <c r="FU271" s="1230"/>
      <c r="FV271" s="1230"/>
      <c r="FW271" s="1230"/>
      <c r="FX271" s="1231"/>
      <c r="FY271" s="1231"/>
      <c r="FZ271" s="1152"/>
      <c r="GA271" s="1153"/>
    </row>
    <row r="272" spans="158:183" x14ac:dyDescent="0.35">
      <c r="FB272" s="1230"/>
      <c r="FC272" s="1230"/>
      <c r="FD272" s="1230"/>
      <c r="FE272" s="1228"/>
      <c r="FF272" s="1228"/>
      <c r="FG272" s="1228"/>
      <c r="FH272" s="1230"/>
      <c r="FI272" s="1230"/>
      <c r="FJ272" s="1230"/>
      <c r="FK272" s="1230"/>
      <c r="FL272" s="1230"/>
      <c r="FM272" s="1230"/>
      <c r="FN272" s="1230"/>
      <c r="FO272" s="1230"/>
      <c r="FP272" s="1230"/>
      <c r="FQ272" s="1230"/>
      <c r="FR272" s="1230"/>
      <c r="FS272" s="1230"/>
      <c r="FT272" s="1230"/>
      <c r="FU272" s="1230"/>
      <c r="FV272" s="1230"/>
      <c r="FW272" s="1230"/>
      <c r="FX272" s="1231"/>
      <c r="FY272" s="1231"/>
      <c r="FZ272" s="1152"/>
      <c r="GA272" s="1153"/>
    </row>
    <row r="273" spans="158:183" x14ac:dyDescent="0.35">
      <c r="FB273" s="1230"/>
      <c r="FC273" s="1230"/>
      <c r="FD273" s="1230"/>
      <c r="FE273" s="1228"/>
      <c r="FF273" s="1228"/>
      <c r="FG273" s="1228"/>
      <c r="FH273" s="1230"/>
      <c r="FI273" s="1230"/>
      <c r="FJ273" s="1230"/>
      <c r="FK273" s="1230"/>
      <c r="FL273" s="1230"/>
      <c r="FM273" s="1230"/>
      <c r="FN273" s="1230"/>
      <c r="FO273" s="1230"/>
      <c r="FP273" s="1230"/>
      <c r="FQ273" s="1230"/>
      <c r="FR273" s="1230"/>
      <c r="FS273" s="1230"/>
      <c r="FT273" s="1230"/>
      <c r="FU273" s="1230"/>
      <c r="FV273" s="1230"/>
      <c r="FW273" s="1230"/>
      <c r="FX273" s="1231"/>
      <c r="FY273" s="1231"/>
      <c r="FZ273" s="1152"/>
      <c r="GA273" s="1153"/>
    </row>
    <row r="274" spans="158:183" x14ac:dyDescent="0.35">
      <c r="FB274" s="1230"/>
      <c r="FC274" s="1230"/>
      <c r="FD274" s="1230"/>
      <c r="FE274" s="1228"/>
      <c r="FF274" s="1228"/>
      <c r="FG274" s="1228"/>
      <c r="FH274" s="1230"/>
      <c r="FI274" s="1230"/>
      <c r="FJ274" s="1230"/>
      <c r="FK274" s="1230"/>
      <c r="FL274" s="1230"/>
      <c r="FM274" s="1230"/>
      <c r="FN274" s="1230"/>
      <c r="FO274" s="1230"/>
      <c r="FP274" s="1230"/>
      <c r="FQ274" s="1230"/>
      <c r="FR274" s="1230"/>
      <c r="FS274" s="1230"/>
      <c r="FT274" s="1230"/>
      <c r="FU274" s="1230"/>
      <c r="FV274" s="1230"/>
      <c r="FW274" s="1230"/>
      <c r="FX274" s="1231"/>
      <c r="FY274" s="1231"/>
      <c r="FZ274" s="1152"/>
      <c r="GA274" s="1153"/>
    </row>
    <row r="275" spans="158:183" x14ac:dyDescent="0.35">
      <c r="FB275" s="1230"/>
      <c r="FC275" s="1230"/>
      <c r="FD275" s="1230"/>
      <c r="FE275" s="1228"/>
      <c r="FF275" s="1228"/>
      <c r="FG275" s="1228"/>
      <c r="FH275" s="1230"/>
      <c r="FI275" s="1230"/>
      <c r="FJ275" s="1230"/>
      <c r="FK275" s="1230"/>
      <c r="FL275" s="1230"/>
      <c r="FM275" s="1230"/>
      <c r="FN275" s="1230"/>
      <c r="FO275" s="1230"/>
      <c r="FP275" s="1230"/>
      <c r="FQ275" s="1230"/>
      <c r="FR275" s="1230"/>
      <c r="FS275" s="1230"/>
      <c r="FT275" s="1230"/>
      <c r="FU275" s="1230"/>
      <c r="FV275" s="1230"/>
      <c r="FW275" s="1230"/>
      <c r="FX275" s="1231"/>
      <c r="FY275" s="1231"/>
      <c r="FZ275" s="1152"/>
      <c r="GA275" s="1153"/>
    </row>
    <row r="276" spans="158:183" x14ac:dyDescent="0.35">
      <c r="FB276" s="1230"/>
      <c r="FC276" s="1230"/>
      <c r="FD276" s="1230"/>
      <c r="FE276" s="1228"/>
      <c r="FF276" s="1228"/>
      <c r="FG276" s="1228"/>
      <c r="FH276" s="1230"/>
      <c r="FI276" s="1230"/>
      <c r="FJ276" s="1230"/>
      <c r="FK276" s="1230"/>
      <c r="FL276" s="1230"/>
      <c r="FM276" s="1230"/>
      <c r="FN276" s="1230"/>
      <c r="FO276" s="1230"/>
      <c r="FP276" s="1230"/>
      <c r="FQ276" s="1230"/>
      <c r="FR276" s="1230"/>
      <c r="FS276" s="1230"/>
      <c r="FT276" s="1230"/>
      <c r="FU276" s="1230"/>
      <c r="FV276" s="1230"/>
      <c r="FW276" s="1230"/>
      <c r="FX276" s="1231"/>
      <c r="FY276" s="1231"/>
      <c r="FZ276" s="1152"/>
      <c r="GA276" s="1153"/>
    </row>
    <row r="277" spans="158:183" x14ac:dyDescent="0.35">
      <c r="FB277" s="1230"/>
      <c r="FC277" s="1230"/>
      <c r="FD277" s="1230"/>
      <c r="FE277" s="1228"/>
      <c r="FF277" s="1228"/>
      <c r="FG277" s="1228"/>
      <c r="FH277" s="1230"/>
      <c r="FI277" s="1230"/>
      <c r="FJ277" s="1230"/>
      <c r="FK277" s="1230"/>
      <c r="FL277" s="1230"/>
      <c r="FM277" s="1230"/>
      <c r="FN277" s="1230"/>
      <c r="FO277" s="1230"/>
      <c r="FP277" s="1230"/>
      <c r="FQ277" s="1230"/>
      <c r="FR277" s="1230"/>
      <c r="FS277" s="1230"/>
      <c r="FT277" s="1230"/>
      <c r="FU277" s="1230"/>
      <c r="FV277" s="1230"/>
      <c r="FW277" s="1230"/>
      <c r="FX277" s="1231"/>
      <c r="FY277" s="1231"/>
      <c r="FZ277" s="1152"/>
      <c r="GA277" s="1153"/>
    </row>
    <row r="278" spans="158:183" x14ac:dyDescent="0.35">
      <c r="FB278" s="1230"/>
      <c r="FC278" s="1230"/>
      <c r="FD278" s="1230"/>
      <c r="FE278" s="1228"/>
      <c r="FF278" s="1228"/>
      <c r="FG278" s="1228"/>
      <c r="FH278" s="1230"/>
      <c r="FI278" s="1230"/>
      <c r="FJ278" s="1230"/>
      <c r="FK278" s="1230"/>
      <c r="FL278" s="1230"/>
      <c r="FM278" s="1230"/>
      <c r="FN278" s="1230"/>
      <c r="FO278" s="1230"/>
      <c r="FP278" s="1230"/>
      <c r="FQ278" s="1230"/>
      <c r="FR278" s="1230"/>
      <c r="FS278" s="1230"/>
      <c r="FT278" s="1230"/>
      <c r="FU278" s="1230"/>
      <c r="FV278" s="1230"/>
      <c r="FW278" s="1230"/>
      <c r="FX278" s="1231"/>
      <c r="FY278" s="1231"/>
      <c r="FZ278" s="1152"/>
      <c r="GA278" s="1153"/>
    </row>
    <row r="279" spans="158:183" x14ac:dyDescent="0.35">
      <c r="FB279" s="1230"/>
      <c r="FC279" s="1230"/>
      <c r="FD279" s="1230"/>
      <c r="FE279" s="1228"/>
      <c r="FF279" s="1228"/>
      <c r="FG279" s="1228"/>
      <c r="FH279" s="1230"/>
      <c r="FI279" s="1230"/>
      <c r="FJ279" s="1230"/>
      <c r="FK279" s="1230"/>
      <c r="FL279" s="1230"/>
      <c r="FM279" s="1230"/>
      <c r="FN279" s="1230"/>
      <c r="FO279" s="1230"/>
      <c r="FP279" s="1230"/>
      <c r="FQ279" s="1230"/>
      <c r="FR279" s="1230"/>
      <c r="FS279" s="1230"/>
      <c r="FT279" s="1230"/>
      <c r="FU279" s="1230"/>
      <c r="FV279" s="1230"/>
      <c r="FW279" s="1230"/>
      <c r="FX279" s="1231"/>
      <c r="FY279" s="1231"/>
      <c r="FZ279" s="1152"/>
      <c r="GA279" s="1153"/>
    </row>
    <row r="280" spans="158:183" x14ac:dyDescent="0.35">
      <c r="FB280" s="1230"/>
      <c r="FC280" s="1230"/>
      <c r="FD280" s="1230"/>
      <c r="FE280" s="1228"/>
      <c r="FF280" s="1228"/>
      <c r="FG280" s="1228"/>
      <c r="FH280" s="1230"/>
      <c r="FI280" s="1230"/>
      <c r="FJ280" s="1230"/>
      <c r="FK280" s="1230"/>
      <c r="FL280" s="1230"/>
      <c r="FM280" s="1230"/>
      <c r="FN280" s="1230"/>
      <c r="FO280" s="1230"/>
      <c r="FP280" s="1230"/>
      <c r="FQ280" s="1230"/>
      <c r="FR280" s="1230"/>
      <c r="FS280" s="1230"/>
      <c r="FT280" s="1230"/>
      <c r="FU280" s="1230"/>
      <c r="FV280" s="1230"/>
      <c r="FW280" s="1230"/>
      <c r="FX280" s="1231"/>
      <c r="FY280" s="1231"/>
      <c r="FZ280" s="1152"/>
      <c r="GA280" s="1153"/>
    </row>
    <row r="281" spans="158:183" x14ac:dyDescent="0.35">
      <c r="FB281" s="1230"/>
      <c r="FC281" s="1230"/>
      <c r="FD281" s="1230"/>
      <c r="FE281" s="1228"/>
      <c r="FF281" s="1228"/>
      <c r="FG281" s="1228"/>
      <c r="FH281" s="1230"/>
      <c r="FI281" s="1230"/>
      <c r="FJ281" s="1230"/>
      <c r="FK281" s="1230"/>
      <c r="FL281" s="1230"/>
      <c r="FM281" s="1230"/>
      <c r="FN281" s="1230"/>
      <c r="FO281" s="1230"/>
      <c r="FP281" s="1230"/>
      <c r="FQ281" s="1230"/>
      <c r="FR281" s="1230"/>
      <c r="FS281" s="1230"/>
      <c r="FT281" s="1230"/>
      <c r="FU281" s="1230"/>
      <c r="FV281" s="1230"/>
      <c r="FW281" s="1230"/>
      <c r="FX281" s="1231"/>
      <c r="FY281" s="1231"/>
      <c r="FZ281" s="1152"/>
      <c r="GA281" s="1153"/>
    </row>
    <row r="282" spans="158:183" x14ac:dyDescent="0.35">
      <c r="FB282" s="1230"/>
      <c r="FC282" s="1230"/>
      <c r="FD282" s="1230"/>
      <c r="FE282" s="1228"/>
      <c r="FF282" s="1228"/>
      <c r="FG282" s="1228"/>
      <c r="FH282" s="1230"/>
      <c r="FI282" s="1230"/>
      <c r="FJ282" s="1230"/>
      <c r="FK282" s="1230"/>
      <c r="FL282" s="1230"/>
      <c r="FM282" s="1230"/>
      <c r="FN282" s="1230"/>
      <c r="FO282" s="1230"/>
      <c r="FP282" s="1230"/>
      <c r="FQ282" s="1230"/>
      <c r="FR282" s="1230"/>
      <c r="FS282" s="1230"/>
      <c r="FT282" s="1230"/>
      <c r="FU282" s="1230"/>
      <c r="FV282" s="1230"/>
      <c r="FW282" s="1230"/>
      <c r="FX282" s="1231"/>
      <c r="FY282" s="1231"/>
      <c r="FZ282" s="1152"/>
      <c r="GA282" s="1153"/>
    </row>
    <row r="283" spans="158:183" x14ac:dyDescent="0.35">
      <c r="FB283" s="1230"/>
      <c r="FC283" s="1230"/>
      <c r="FD283" s="1230"/>
      <c r="FE283" s="1228"/>
      <c r="FF283" s="1228"/>
      <c r="FG283" s="1228"/>
      <c r="FH283" s="1230"/>
      <c r="FI283" s="1230"/>
      <c r="FJ283" s="1230"/>
      <c r="FK283" s="1230"/>
      <c r="FL283" s="1230"/>
      <c r="FM283" s="1230"/>
      <c r="FN283" s="1230"/>
      <c r="FO283" s="1230"/>
      <c r="FP283" s="1230"/>
      <c r="FQ283" s="1230"/>
      <c r="FR283" s="1230"/>
      <c r="FS283" s="1230"/>
      <c r="FT283" s="1230"/>
      <c r="FU283" s="1230"/>
      <c r="FV283" s="1230"/>
      <c r="FW283" s="1230"/>
      <c r="FX283" s="1231"/>
      <c r="FY283" s="1231"/>
      <c r="FZ283" s="1152"/>
      <c r="GA283" s="1153"/>
    </row>
    <row r="284" spans="158:183" x14ac:dyDescent="0.35">
      <c r="FB284" s="1230"/>
      <c r="FC284" s="1230"/>
      <c r="FD284" s="1230"/>
      <c r="FE284" s="1228"/>
      <c r="FF284" s="1228"/>
      <c r="FG284" s="1228"/>
      <c r="FH284" s="1230"/>
      <c r="FI284" s="1230"/>
      <c r="FJ284" s="1230"/>
      <c r="FK284" s="1230"/>
      <c r="FL284" s="1230"/>
      <c r="FM284" s="1230"/>
      <c r="FN284" s="1230"/>
      <c r="FO284" s="1230"/>
      <c r="FP284" s="1230"/>
      <c r="FQ284" s="1230"/>
      <c r="FR284" s="1230"/>
      <c r="FS284" s="1230"/>
      <c r="FT284" s="1230"/>
      <c r="FU284" s="1230"/>
      <c r="FV284" s="1230"/>
      <c r="FW284" s="1230"/>
      <c r="FX284" s="1231"/>
      <c r="FY284" s="1231"/>
      <c r="FZ284" s="1152"/>
      <c r="GA284" s="1153"/>
    </row>
    <row r="285" spans="158:183" x14ac:dyDescent="0.35">
      <c r="FB285" s="1230"/>
      <c r="FC285" s="1230"/>
      <c r="FD285" s="1230"/>
      <c r="FE285" s="1228"/>
      <c r="FF285" s="1228"/>
      <c r="FG285" s="1228"/>
      <c r="FH285" s="1230"/>
      <c r="FI285" s="1230"/>
      <c r="FJ285" s="1230"/>
      <c r="FK285" s="1230"/>
      <c r="FL285" s="1230"/>
      <c r="FM285" s="1230"/>
      <c r="FN285" s="1230"/>
      <c r="FO285" s="1230"/>
      <c r="FP285" s="1230"/>
      <c r="FQ285" s="1230"/>
      <c r="FR285" s="1230"/>
      <c r="FS285" s="1230"/>
      <c r="FT285" s="1230"/>
      <c r="FU285" s="1230"/>
      <c r="FV285" s="1230"/>
      <c r="FW285" s="1230"/>
      <c r="FX285" s="1231"/>
      <c r="FY285" s="1231"/>
      <c r="FZ285" s="1152"/>
      <c r="GA285" s="1153"/>
    </row>
    <row r="286" spans="158:183" x14ac:dyDescent="0.35">
      <c r="FB286" s="1230"/>
      <c r="FC286" s="1230"/>
      <c r="FD286" s="1230"/>
      <c r="FE286" s="1228"/>
      <c r="FF286" s="1228"/>
      <c r="FG286" s="1228"/>
      <c r="FH286" s="1230"/>
      <c r="FI286" s="1230"/>
      <c r="FJ286" s="1230"/>
      <c r="FK286" s="1230"/>
      <c r="FL286" s="1230"/>
      <c r="FM286" s="1230"/>
      <c r="FN286" s="1230"/>
      <c r="FO286" s="1230"/>
      <c r="FP286" s="1230"/>
      <c r="FQ286" s="1230"/>
      <c r="FR286" s="1230"/>
      <c r="FS286" s="1230"/>
      <c r="FT286" s="1230"/>
      <c r="FU286" s="1230"/>
      <c r="FV286" s="1230"/>
      <c r="FW286" s="1230"/>
      <c r="FX286" s="1231"/>
      <c r="FY286" s="1231"/>
      <c r="FZ286" s="1152"/>
      <c r="GA286" s="1153"/>
    </row>
    <row r="287" spans="158:183" x14ac:dyDescent="0.35">
      <c r="FB287" s="1230"/>
      <c r="FC287" s="1230"/>
      <c r="FD287" s="1230"/>
      <c r="FE287" s="1228"/>
      <c r="FF287" s="1228"/>
      <c r="FG287" s="1228"/>
      <c r="FH287" s="1230"/>
      <c r="FI287" s="1230"/>
      <c r="FJ287" s="1230"/>
      <c r="FK287" s="1230"/>
      <c r="FL287" s="1230"/>
      <c r="FM287" s="1230"/>
      <c r="FN287" s="1230"/>
      <c r="FO287" s="1230"/>
      <c r="FP287" s="1230"/>
      <c r="FQ287" s="1230"/>
      <c r="FR287" s="1230"/>
      <c r="FS287" s="1230"/>
      <c r="FT287" s="1230"/>
      <c r="FU287" s="1230"/>
      <c r="FV287" s="1230"/>
      <c r="FW287" s="1230"/>
      <c r="FX287" s="1231"/>
      <c r="FY287" s="1231"/>
      <c r="FZ287" s="1152"/>
      <c r="GA287" s="1153"/>
    </row>
    <row r="288" spans="158:183" x14ac:dyDescent="0.35">
      <c r="FB288" s="1230"/>
      <c r="FC288" s="1230"/>
      <c r="FD288" s="1230"/>
      <c r="FE288" s="1228"/>
      <c r="FF288" s="1228"/>
      <c r="FG288" s="1228"/>
      <c r="FH288" s="1230"/>
      <c r="FI288" s="1230"/>
      <c r="FJ288" s="1230"/>
      <c r="FK288" s="1230"/>
      <c r="FL288" s="1230"/>
      <c r="FM288" s="1230"/>
      <c r="FN288" s="1230"/>
      <c r="FO288" s="1230"/>
      <c r="FP288" s="1230"/>
      <c r="FQ288" s="1230"/>
      <c r="FR288" s="1230"/>
      <c r="FS288" s="1230"/>
      <c r="FT288" s="1230"/>
      <c r="FU288" s="1230"/>
      <c r="FV288" s="1230"/>
      <c r="FW288" s="1230"/>
      <c r="FX288" s="1231"/>
      <c r="FY288" s="1231"/>
      <c r="FZ288" s="1152"/>
      <c r="GA288" s="1153"/>
    </row>
    <row r="289" spans="158:183" x14ac:dyDescent="0.35">
      <c r="FB289" s="1230"/>
      <c r="FC289" s="1230"/>
      <c r="FD289" s="1230"/>
      <c r="FE289" s="1228"/>
      <c r="FF289" s="1228"/>
      <c r="FG289" s="1228"/>
      <c r="FH289" s="1230"/>
      <c r="FI289" s="1230"/>
      <c r="FJ289" s="1230"/>
      <c r="FK289" s="1230"/>
      <c r="FL289" s="1230"/>
      <c r="FM289" s="1230"/>
      <c r="FN289" s="1230"/>
      <c r="FO289" s="1230"/>
      <c r="FP289" s="1230"/>
      <c r="FQ289" s="1230"/>
      <c r="FR289" s="1230"/>
      <c r="FS289" s="1230"/>
      <c r="FT289" s="1230"/>
      <c r="FU289" s="1230"/>
      <c r="FV289" s="1230"/>
      <c r="FW289" s="1230"/>
      <c r="FX289" s="1231"/>
      <c r="FY289" s="1231"/>
      <c r="FZ289" s="1152"/>
      <c r="GA289" s="1153"/>
    </row>
    <row r="290" spans="158:183" x14ac:dyDescent="0.35">
      <c r="FB290" s="1230"/>
      <c r="FC290" s="1230"/>
      <c r="FD290" s="1230"/>
      <c r="FE290" s="1228"/>
      <c r="FF290" s="1228"/>
      <c r="FG290" s="1228"/>
      <c r="FH290" s="1230"/>
      <c r="FI290" s="1230"/>
      <c r="FJ290" s="1230"/>
      <c r="FK290" s="1230"/>
      <c r="FL290" s="1230"/>
      <c r="FM290" s="1230"/>
      <c r="FN290" s="1230"/>
      <c r="FO290" s="1230"/>
      <c r="FP290" s="1230"/>
      <c r="FQ290" s="1230"/>
      <c r="FR290" s="1230"/>
      <c r="FS290" s="1230"/>
      <c r="FT290" s="1230"/>
      <c r="FU290" s="1230"/>
      <c r="FV290" s="1230"/>
      <c r="FW290" s="1230"/>
      <c r="FX290" s="1231"/>
      <c r="FY290" s="1231"/>
      <c r="FZ290" s="1152"/>
      <c r="GA290" s="1153"/>
    </row>
    <row r="291" spans="158:183" x14ac:dyDescent="0.35">
      <c r="FB291" s="1230"/>
      <c r="FC291" s="1230"/>
      <c r="FD291" s="1230"/>
      <c r="FE291" s="1228"/>
      <c r="FF291" s="1228"/>
      <c r="FG291" s="1228"/>
      <c r="FH291" s="1230"/>
      <c r="FI291" s="1230"/>
      <c r="FJ291" s="1230"/>
      <c r="FK291" s="1230"/>
      <c r="FL291" s="1230"/>
      <c r="FM291" s="1230"/>
      <c r="FN291" s="1230"/>
      <c r="FO291" s="1230"/>
      <c r="FP291" s="1230"/>
      <c r="FQ291" s="1230"/>
      <c r="FR291" s="1230"/>
      <c r="FS291" s="1230"/>
      <c r="FT291" s="1230"/>
      <c r="FU291" s="1230"/>
      <c r="FV291" s="1230"/>
      <c r="FW291" s="1230"/>
      <c r="FX291" s="1231"/>
      <c r="FY291" s="1231"/>
      <c r="FZ291" s="1152"/>
      <c r="GA291" s="1153"/>
    </row>
    <row r="292" spans="158:183" x14ac:dyDescent="0.35">
      <c r="FB292" s="1230"/>
      <c r="FC292" s="1230"/>
      <c r="FD292" s="1230"/>
      <c r="FE292" s="1228"/>
      <c r="FF292" s="1228"/>
      <c r="FG292" s="1228"/>
      <c r="FH292" s="1230"/>
      <c r="FI292" s="1230"/>
      <c r="FJ292" s="1230"/>
      <c r="FK292" s="1230"/>
      <c r="FL292" s="1230"/>
      <c r="FM292" s="1230"/>
      <c r="FN292" s="1230"/>
      <c r="FO292" s="1230"/>
      <c r="FP292" s="1230"/>
      <c r="FQ292" s="1230"/>
      <c r="FR292" s="1230"/>
      <c r="FS292" s="1230"/>
      <c r="FT292" s="1230"/>
      <c r="FU292" s="1230"/>
      <c r="FV292" s="1230"/>
      <c r="FW292" s="1230"/>
      <c r="FX292" s="1231"/>
      <c r="FY292" s="1231"/>
      <c r="FZ292" s="1152"/>
      <c r="GA292" s="1153"/>
    </row>
    <row r="293" spans="158:183" x14ac:dyDescent="0.35">
      <c r="FB293" s="1230"/>
      <c r="FC293" s="1230"/>
      <c r="FD293" s="1230"/>
      <c r="FE293" s="1228"/>
      <c r="FF293" s="1228"/>
      <c r="FG293" s="1228"/>
      <c r="FH293" s="1230"/>
      <c r="FI293" s="1230"/>
      <c r="FJ293" s="1230"/>
      <c r="FK293" s="1230"/>
      <c r="FL293" s="1230"/>
      <c r="FM293" s="1230"/>
      <c r="FN293" s="1230"/>
      <c r="FO293" s="1230"/>
      <c r="FP293" s="1230"/>
      <c r="FQ293" s="1230"/>
      <c r="FR293" s="1230"/>
      <c r="FS293" s="1230"/>
      <c r="FT293" s="1230"/>
      <c r="FU293" s="1230"/>
      <c r="FV293" s="1230"/>
      <c r="FW293" s="1230"/>
      <c r="FX293" s="1231"/>
      <c r="FY293" s="1231"/>
      <c r="FZ293" s="1152"/>
      <c r="GA293" s="1153"/>
    </row>
    <row r="294" spans="158:183" x14ac:dyDescent="0.35">
      <c r="FB294" s="1230"/>
      <c r="FC294" s="1230"/>
      <c r="FD294" s="1230"/>
      <c r="FE294" s="1228"/>
      <c r="FF294" s="1228"/>
      <c r="FG294" s="1228"/>
      <c r="FH294" s="1230"/>
      <c r="FI294" s="1230"/>
      <c r="FJ294" s="1230"/>
      <c r="FK294" s="1230"/>
      <c r="FL294" s="1230"/>
      <c r="FM294" s="1230"/>
      <c r="FN294" s="1230"/>
      <c r="FO294" s="1230"/>
      <c r="FP294" s="1230"/>
      <c r="FQ294" s="1230"/>
      <c r="FR294" s="1230"/>
      <c r="FS294" s="1230"/>
      <c r="FT294" s="1230"/>
      <c r="FU294" s="1230"/>
      <c r="FV294" s="1230"/>
      <c r="FW294" s="1230"/>
      <c r="FX294" s="1231"/>
      <c r="FY294" s="1231"/>
      <c r="FZ294" s="1152"/>
      <c r="GA294" s="1153"/>
    </row>
    <row r="295" spans="158:183" x14ac:dyDescent="0.35">
      <c r="FB295" s="1230"/>
      <c r="FC295" s="1230"/>
      <c r="FD295" s="1230"/>
      <c r="FE295" s="1228"/>
      <c r="FF295" s="1228"/>
      <c r="FG295" s="1228"/>
      <c r="FH295" s="1230"/>
      <c r="FI295" s="1230"/>
      <c r="FJ295" s="1230"/>
      <c r="FK295" s="1230"/>
      <c r="FL295" s="1230"/>
      <c r="FM295" s="1230"/>
      <c r="FN295" s="1230"/>
      <c r="FO295" s="1230"/>
      <c r="FP295" s="1230"/>
      <c r="FQ295" s="1230"/>
      <c r="FR295" s="1230"/>
      <c r="FS295" s="1230"/>
      <c r="FT295" s="1230"/>
      <c r="FU295" s="1230"/>
      <c r="FV295" s="1230"/>
      <c r="FW295" s="1230"/>
      <c r="FX295" s="1231"/>
      <c r="FY295" s="1231"/>
      <c r="FZ295" s="1152"/>
      <c r="GA295" s="1153"/>
    </row>
    <row r="296" spans="158:183" x14ac:dyDescent="0.35">
      <c r="FB296" s="1230"/>
      <c r="FC296" s="1230"/>
      <c r="FD296" s="1230"/>
      <c r="FE296" s="1228"/>
      <c r="FF296" s="1228"/>
      <c r="FG296" s="1228"/>
      <c r="FH296" s="1230"/>
      <c r="FI296" s="1230"/>
      <c r="FJ296" s="1230"/>
      <c r="FK296" s="1230"/>
      <c r="FL296" s="1230"/>
      <c r="FM296" s="1230"/>
      <c r="FN296" s="1230"/>
      <c r="FO296" s="1230"/>
      <c r="FP296" s="1230"/>
      <c r="FQ296" s="1230"/>
      <c r="FR296" s="1230"/>
      <c r="FS296" s="1230"/>
      <c r="FT296" s="1230"/>
      <c r="FU296" s="1230"/>
      <c r="FV296" s="1230"/>
      <c r="FW296" s="1230"/>
      <c r="FX296" s="1231"/>
      <c r="FY296" s="1231"/>
      <c r="FZ296" s="1152"/>
      <c r="GA296" s="1153"/>
    </row>
    <row r="297" spans="158:183" x14ac:dyDescent="0.35">
      <c r="FB297" s="1230"/>
      <c r="FC297" s="1230"/>
      <c r="FD297" s="1230"/>
      <c r="FE297" s="1228"/>
      <c r="FF297" s="1228"/>
      <c r="FG297" s="1228"/>
      <c r="FH297" s="1230"/>
      <c r="FI297" s="1230"/>
      <c r="FJ297" s="1230"/>
      <c r="FK297" s="1230"/>
      <c r="FL297" s="1230"/>
      <c r="FM297" s="1230"/>
      <c r="FN297" s="1230"/>
      <c r="FO297" s="1230"/>
      <c r="FP297" s="1230"/>
      <c r="FQ297" s="1230"/>
      <c r="FR297" s="1230"/>
      <c r="FS297" s="1230"/>
      <c r="FT297" s="1230"/>
      <c r="FU297" s="1230"/>
      <c r="FV297" s="1230"/>
      <c r="FW297" s="1230"/>
      <c r="FX297" s="1231"/>
      <c r="FY297" s="1231"/>
      <c r="FZ297" s="1152"/>
      <c r="GA297" s="1153"/>
    </row>
    <row r="298" spans="158:183" x14ac:dyDescent="0.35">
      <c r="FB298" s="1230"/>
      <c r="FC298" s="1230"/>
      <c r="FD298" s="1230"/>
      <c r="FE298" s="1228"/>
      <c r="FF298" s="1228"/>
      <c r="FG298" s="1228"/>
      <c r="FH298" s="1230"/>
      <c r="FI298" s="1230"/>
      <c r="FJ298" s="1230"/>
      <c r="FK298" s="1230"/>
      <c r="FL298" s="1230"/>
      <c r="FM298" s="1230"/>
      <c r="FN298" s="1230"/>
      <c r="FO298" s="1230"/>
      <c r="FP298" s="1230"/>
      <c r="FQ298" s="1230"/>
      <c r="FR298" s="1230"/>
      <c r="FS298" s="1230"/>
      <c r="FT298" s="1230"/>
      <c r="FU298" s="1230"/>
      <c r="FV298" s="1230"/>
      <c r="FW298" s="1230"/>
      <c r="FX298" s="1231"/>
      <c r="FY298" s="1231"/>
      <c r="FZ298" s="1152"/>
      <c r="GA298" s="1153"/>
    </row>
    <row r="299" spans="158:183" x14ac:dyDescent="0.35">
      <c r="FB299" s="1230"/>
      <c r="FC299" s="1230"/>
      <c r="FD299" s="1230"/>
      <c r="FE299" s="1228"/>
      <c r="FF299" s="1228"/>
      <c r="FG299" s="1228"/>
      <c r="FH299" s="1230"/>
      <c r="FI299" s="1230"/>
      <c r="FJ299" s="1230"/>
      <c r="FK299" s="1230"/>
      <c r="FL299" s="1230"/>
      <c r="FM299" s="1230"/>
      <c r="FN299" s="1230"/>
      <c r="FO299" s="1230"/>
      <c r="FP299" s="1230"/>
      <c r="FQ299" s="1230"/>
      <c r="FR299" s="1230"/>
      <c r="FS299" s="1230"/>
      <c r="FT299" s="1230"/>
      <c r="FU299" s="1230"/>
      <c r="FV299" s="1230"/>
      <c r="FW299" s="1230"/>
      <c r="FX299" s="1231"/>
      <c r="FY299" s="1231"/>
      <c r="FZ299" s="1152"/>
      <c r="GA299" s="1153"/>
    </row>
    <row r="300" spans="158:183" x14ac:dyDescent="0.35">
      <c r="FB300" s="1230"/>
      <c r="FC300" s="1230"/>
      <c r="FD300" s="1230"/>
      <c r="FE300" s="1228"/>
      <c r="FF300" s="1228"/>
      <c r="FG300" s="1228"/>
      <c r="FH300" s="1230"/>
      <c r="FI300" s="1230"/>
      <c r="FJ300" s="1230"/>
      <c r="FK300" s="1230"/>
      <c r="FL300" s="1230"/>
      <c r="FM300" s="1230"/>
      <c r="FN300" s="1230"/>
      <c r="FO300" s="1230"/>
      <c r="FP300" s="1230"/>
      <c r="FQ300" s="1230"/>
      <c r="FR300" s="1230"/>
      <c r="FS300" s="1230"/>
      <c r="FT300" s="1230"/>
      <c r="FU300" s="1230"/>
      <c r="FV300" s="1230"/>
      <c r="FW300" s="1230"/>
      <c r="FX300" s="1231"/>
      <c r="FY300" s="1231"/>
      <c r="FZ300" s="1152"/>
      <c r="GA300" s="1153"/>
    </row>
    <row r="301" spans="158:183" x14ac:dyDescent="0.35">
      <c r="FB301" s="1230"/>
      <c r="FC301" s="1230"/>
      <c r="FD301" s="1230"/>
      <c r="FE301" s="1228"/>
      <c r="FF301" s="1228"/>
      <c r="FG301" s="1228"/>
      <c r="FH301" s="1230"/>
      <c r="FI301" s="1230"/>
      <c r="FJ301" s="1230"/>
      <c r="FK301" s="1230"/>
      <c r="FL301" s="1230"/>
      <c r="FM301" s="1230"/>
      <c r="FN301" s="1230"/>
      <c r="FO301" s="1230"/>
      <c r="FP301" s="1230"/>
      <c r="FQ301" s="1230"/>
      <c r="FR301" s="1230"/>
      <c r="FS301" s="1230"/>
      <c r="FT301" s="1230"/>
      <c r="FU301" s="1230"/>
      <c r="FV301" s="1230"/>
      <c r="FW301" s="1230"/>
      <c r="FX301" s="1231"/>
      <c r="FY301" s="1231"/>
      <c r="FZ301" s="1152"/>
      <c r="GA301" s="1153"/>
    </row>
    <row r="302" spans="158:183" x14ac:dyDescent="0.35">
      <c r="FB302" s="1230"/>
      <c r="FC302" s="1230"/>
      <c r="FD302" s="1230"/>
      <c r="FE302" s="1228"/>
      <c r="FF302" s="1228"/>
      <c r="FG302" s="1228"/>
      <c r="FH302" s="1230"/>
      <c r="FI302" s="1230"/>
      <c r="FJ302" s="1230"/>
      <c r="FK302" s="1230"/>
      <c r="FL302" s="1230"/>
      <c r="FM302" s="1230"/>
      <c r="FN302" s="1230"/>
      <c r="FO302" s="1230"/>
      <c r="FP302" s="1230"/>
      <c r="FQ302" s="1230"/>
      <c r="FR302" s="1230"/>
      <c r="FS302" s="1230"/>
      <c r="FT302" s="1230"/>
      <c r="FU302" s="1230"/>
      <c r="FV302" s="1230"/>
      <c r="FW302" s="1230"/>
      <c r="FX302" s="1231"/>
      <c r="FY302" s="1231"/>
      <c r="FZ302" s="1152"/>
      <c r="GA302" s="1153"/>
    </row>
    <row r="303" spans="158:183" x14ac:dyDescent="0.35">
      <c r="FB303" s="1230"/>
      <c r="FC303" s="1230"/>
      <c r="FD303" s="1230"/>
      <c r="FE303" s="1228"/>
      <c r="FF303" s="1228"/>
      <c r="FG303" s="1228"/>
      <c r="FH303" s="1230"/>
      <c r="FI303" s="1230"/>
      <c r="FJ303" s="1230"/>
      <c r="FK303" s="1230"/>
      <c r="FL303" s="1230"/>
      <c r="FM303" s="1230"/>
      <c r="FN303" s="1230"/>
      <c r="FO303" s="1230"/>
      <c r="FP303" s="1230"/>
      <c r="FQ303" s="1230"/>
      <c r="FR303" s="1230"/>
      <c r="FS303" s="1230"/>
      <c r="FT303" s="1230"/>
      <c r="FU303" s="1230"/>
      <c r="FV303" s="1230"/>
      <c r="FW303" s="1230"/>
      <c r="FX303" s="1231"/>
      <c r="FY303" s="1231"/>
      <c r="FZ303" s="1152"/>
      <c r="GA303" s="1153"/>
    </row>
    <row r="304" spans="158:183" x14ac:dyDescent="0.35">
      <c r="FB304" s="1230"/>
      <c r="FC304" s="1230"/>
      <c r="FD304" s="1230"/>
      <c r="FE304" s="1228"/>
      <c r="FF304" s="1228"/>
      <c r="FG304" s="1228"/>
      <c r="FH304" s="1230"/>
      <c r="FI304" s="1230"/>
      <c r="FJ304" s="1230"/>
      <c r="FK304" s="1230"/>
      <c r="FL304" s="1230"/>
      <c r="FM304" s="1230"/>
      <c r="FN304" s="1230"/>
      <c r="FO304" s="1230"/>
      <c r="FP304" s="1230"/>
      <c r="FQ304" s="1230"/>
      <c r="FR304" s="1230"/>
      <c r="FS304" s="1230"/>
      <c r="FT304" s="1230"/>
      <c r="FU304" s="1230"/>
      <c r="FV304" s="1230"/>
      <c r="FW304" s="1230"/>
      <c r="FX304" s="1231"/>
      <c r="FY304" s="1231"/>
      <c r="FZ304" s="1152"/>
      <c r="GA304" s="1153"/>
    </row>
    <row r="305" spans="158:183" x14ac:dyDescent="0.35">
      <c r="FB305" s="1230"/>
      <c r="FC305" s="1230"/>
      <c r="FD305" s="1230"/>
      <c r="FE305" s="1228"/>
      <c r="FF305" s="1228"/>
      <c r="FG305" s="1228"/>
      <c r="FH305" s="1230"/>
      <c r="FI305" s="1230"/>
      <c r="FJ305" s="1230"/>
      <c r="FK305" s="1230"/>
      <c r="FL305" s="1230"/>
      <c r="FM305" s="1230"/>
      <c r="FN305" s="1230"/>
      <c r="FO305" s="1230"/>
      <c r="FP305" s="1230"/>
      <c r="FQ305" s="1230"/>
      <c r="FR305" s="1230"/>
      <c r="FS305" s="1230"/>
      <c r="FT305" s="1230"/>
      <c r="FU305" s="1230"/>
      <c r="FV305" s="1230"/>
      <c r="FW305" s="1230"/>
      <c r="FX305" s="1231"/>
      <c r="FY305" s="1231"/>
      <c r="FZ305" s="1152"/>
      <c r="GA305" s="1153"/>
    </row>
    <row r="306" spans="158:183" x14ac:dyDescent="0.35">
      <c r="FB306" s="1230"/>
      <c r="FC306" s="1230"/>
      <c r="FD306" s="1230"/>
      <c r="FE306" s="1228"/>
      <c r="FF306" s="1228"/>
      <c r="FG306" s="1228"/>
      <c r="FH306" s="1230"/>
      <c r="FI306" s="1230"/>
      <c r="FJ306" s="1230"/>
      <c r="FK306" s="1230"/>
      <c r="FL306" s="1230"/>
      <c r="FM306" s="1230"/>
      <c r="FN306" s="1230"/>
      <c r="FO306" s="1230"/>
      <c r="FP306" s="1230"/>
      <c r="FQ306" s="1230"/>
      <c r="FR306" s="1230"/>
      <c r="FS306" s="1230"/>
      <c r="FT306" s="1230"/>
      <c r="FU306" s="1230"/>
      <c r="FV306" s="1230"/>
      <c r="FW306" s="1230"/>
      <c r="FX306" s="1231"/>
      <c r="FY306" s="1231"/>
      <c r="FZ306" s="1152"/>
      <c r="GA306" s="1153"/>
    </row>
    <row r="307" spans="158:183" x14ac:dyDescent="0.35">
      <c r="FB307" s="1230"/>
      <c r="FC307" s="1230"/>
      <c r="FD307" s="1230"/>
      <c r="FE307" s="1228"/>
      <c r="FF307" s="1228"/>
      <c r="FG307" s="1228"/>
      <c r="FH307" s="1230"/>
      <c r="FI307" s="1230"/>
      <c r="FJ307" s="1230"/>
      <c r="FK307" s="1230"/>
      <c r="FL307" s="1230"/>
      <c r="FM307" s="1230"/>
      <c r="FN307" s="1230"/>
      <c r="FO307" s="1230"/>
      <c r="FP307" s="1230"/>
      <c r="FQ307" s="1230"/>
      <c r="FR307" s="1230"/>
      <c r="FS307" s="1230"/>
      <c r="FT307" s="1230"/>
      <c r="FU307" s="1230"/>
      <c r="FV307" s="1230"/>
      <c r="FW307" s="1230"/>
      <c r="FX307" s="1231"/>
      <c r="FY307" s="1231"/>
      <c r="FZ307" s="1152"/>
      <c r="GA307" s="1153"/>
    </row>
    <row r="308" spans="158:183" x14ac:dyDescent="0.35">
      <c r="FB308" s="1230"/>
      <c r="FC308" s="1230"/>
      <c r="FD308" s="1230"/>
      <c r="FE308" s="1228"/>
      <c r="FF308" s="1228"/>
      <c r="FG308" s="1228"/>
      <c r="FH308" s="1230"/>
      <c r="FI308" s="1230"/>
      <c r="FJ308" s="1230"/>
      <c r="FK308" s="1230"/>
      <c r="FL308" s="1230"/>
      <c r="FM308" s="1230"/>
      <c r="FN308" s="1230"/>
      <c r="FO308" s="1230"/>
      <c r="FP308" s="1230"/>
      <c r="FQ308" s="1230"/>
      <c r="FR308" s="1230"/>
      <c r="FS308" s="1230"/>
      <c r="FT308" s="1230"/>
      <c r="FU308" s="1230"/>
      <c r="FV308" s="1230"/>
      <c r="FW308" s="1230"/>
      <c r="FX308" s="1231"/>
      <c r="FY308" s="1231"/>
      <c r="FZ308" s="1152"/>
      <c r="GA308" s="1153"/>
    </row>
    <row r="309" spans="158:183" x14ac:dyDescent="0.35">
      <c r="FB309" s="1230"/>
      <c r="FC309" s="1230"/>
      <c r="FD309" s="1230"/>
      <c r="FE309" s="1228"/>
      <c r="FF309" s="1228"/>
      <c r="FG309" s="1228"/>
      <c r="FH309" s="1230"/>
      <c r="FI309" s="1230"/>
      <c r="FJ309" s="1230"/>
      <c r="FK309" s="1230"/>
      <c r="FL309" s="1230"/>
      <c r="FM309" s="1230"/>
      <c r="FN309" s="1230"/>
      <c r="FO309" s="1230"/>
      <c r="FP309" s="1230"/>
      <c r="FQ309" s="1230"/>
      <c r="FR309" s="1230"/>
      <c r="FS309" s="1230"/>
      <c r="FT309" s="1230"/>
      <c r="FU309" s="1230"/>
      <c r="FV309" s="1230"/>
      <c r="FW309" s="1230"/>
      <c r="FX309" s="1231"/>
      <c r="FY309" s="1231"/>
      <c r="FZ309" s="1152"/>
      <c r="GA309" s="1153"/>
    </row>
    <row r="310" spans="158:183" x14ac:dyDescent="0.35">
      <c r="FB310" s="1230"/>
      <c r="FC310" s="1230"/>
      <c r="FD310" s="1230"/>
      <c r="FE310" s="1228"/>
      <c r="FF310" s="1228"/>
      <c r="FG310" s="1228"/>
      <c r="FH310" s="1230"/>
      <c r="FI310" s="1230"/>
      <c r="FJ310" s="1230"/>
      <c r="FK310" s="1230"/>
      <c r="FL310" s="1230"/>
      <c r="FM310" s="1230"/>
      <c r="FN310" s="1230"/>
      <c r="FO310" s="1230"/>
      <c r="FP310" s="1230"/>
      <c r="FQ310" s="1230"/>
      <c r="FR310" s="1230"/>
      <c r="FS310" s="1230"/>
      <c r="FT310" s="1230"/>
      <c r="FU310" s="1230"/>
      <c r="FV310" s="1230"/>
      <c r="FW310" s="1230"/>
      <c r="FX310" s="1231"/>
      <c r="FY310" s="1231"/>
      <c r="FZ310" s="1152"/>
      <c r="GA310" s="1153"/>
    </row>
    <row r="311" spans="158:183" x14ac:dyDescent="0.35">
      <c r="FB311" s="1230"/>
      <c r="FC311" s="1230"/>
      <c r="FD311" s="1230"/>
      <c r="FE311" s="1228"/>
      <c r="FF311" s="1228"/>
      <c r="FG311" s="1228"/>
      <c r="FH311" s="1230"/>
      <c r="FI311" s="1230"/>
      <c r="FJ311" s="1230"/>
      <c r="FK311" s="1230"/>
      <c r="FL311" s="1230"/>
      <c r="FM311" s="1230"/>
      <c r="FN311" s="1230"/>
      <c r="FO311" s="1230"/>
      <c r="FP311" s="1230"/>
      <c r="FQ311" s="1230"/>
      <c r="FR311" s="1230"/>
      <c r="FS311" s="1230"/>
      <c r="FT311" s="1230"/>
      <c r="FU311" s="1230"/>
      <c r="FV311" s="1230"/>
      <c r="FW311" s="1230"/>
      <c r="FX311" s="1231"/>
      <c r="FY311" s="1231"/>
      <c r="FZ311" s="1152"/>
      <c r="GA311" s="1153"/>
    </row>
    <row r="312" spans="158:183" x14ac:dyDescent="0.35">
      <c r="FB312" s="1230"/>
      <c r="FC312" s="1230"/>
      <c r="FD312" s="1230"/>
      <c r="FE312" s="1228"/>
      <c r="FF312" s="1230"/>
      <c r="FG312" s="1230"/>
      <c r="FH312" s="1230"/>
      <c r="FI312" s="1230"/>
      <c r="FJ312" s="1230"/>
      <c r="FK312" s="1230"/>
      <c r="FL312" s="1230"/>
      <c r="FM312" s="1230"/>
      <c r="FN312" s="1230"/>
      <c r="FO312" s="1230"/>
      <c r="FP312" s="1230"/>
      <c r="FQ312" s="1230"/>
      <c r="FR312" s="1230"/>
      <c r="FS312" s="1230"/>
      <c r="FT312" s="1230"/>
      <c r="FU312" s="1230"/>
      <c r="FV312" s="1230"/>
      <c r="FW312" s="1230"/>
      <c r="FX312" s="1231"/>
      <c r="FY312" s="1231"/>
      <c r="FZ312" s="1152"/>
      <c r="GA312" s="1153"/>
    </row>
    <row r="313" spans="158:183" x14ac:dyDescent="0.35">
      <c r="FB313" s="1230"/>
      <c r="FC313" s="1230"/>
      <c r="FD313" s="1230"/>
      <c r="FE313" s="1228"/>
      <c r="FF313" s="1230"/>
      <c r="FG313" s="1230"/>
      <c r="FH313" s="1230"/>
      <c r="FI313" s="1230"/>
      <c r="FJ313" s="1230"/>
      <c r="FK313" s="1230"/>
      <c r="FL313" s="1230"/>
      <c r="FM313" s="1230"/>
      <c r="FN313" s="1230"/>
      <c r="FO313" s="1230"/>
      <c r="FP313" s="1230"/>
      <c r="FQ313" s="1230"/>
      <c r="FR313" s="1230"/>
      <c r="FS313" s="1230"/>
      <c r="FT313" s="1230"/>
      <c r="FU313" s="1230"/>
      <c r="FV313" s="1230"/>
      <c r="FW313" s="1230"/>
      <c r="FX313" s="1231"/>
      <c r="FY313" s="1231"/>
      <c r="FZ313" s="1152"/>
      <c r="GA313" s="1153"/>
    </row>
    <row r="314" spans="158:183" x14ac:dyDescent="0.35">
      <c r="FB314" s="1230"/>
      <c r="FC314" s="1230"/>
      <c r="FD314" s="1230"/>
      <c r="FE314" s="1228"/>
      <c r="FF314" s="1230"/>
      <c r="FG314" s="1230"/>
      <c r="FH314" s="1230"/>
      <c r="FI314" s="1230"/>
      <c r="FJ314" s="1230"/>
      <c r="FK314" s="1230"/>
      <c r="FL314" s="1230"/>
      <c r="FM314" s="1230"/>
      <c r="FN314" s="1230"/>
      <c r="FO314" s="1230"/>
      <c r="FP314" s="1230"/>
      <c r="FQ314" s="1230"/>
      <c r="FR314" s="1230"/>
      <c r="FS314" s="1230"/>
      <c r="FT314" s="1230"/>
      <c r="FU314" s="1230"/>
      <c r="FV314" s="1230"/>
      <c r="FW314" s="1230"/>
      <c r="FX314" s="1231"/>
      <c r="FY314" s="1231"/>
      <c r="FZ314" s="1152"/>
      <c r="GA314" s="1153"/>
    </row>
    <row r="315" spans="158:183" x14ac:dyDescent="0.35">
      <c r="FB315" s="1230"/>
      <c r="FC315" s="1230"/>
      <c r="FD315" s="1230"/>
      <c r="FE315" s="1228"/>
      <c r="FF315" s="1230"/>
      <c r="FG315" s="1230"/>
      <c r="FH315" s="1230"/>
      <c r="FI315" s="1230"/>
      <c r="FJ315" s="1230"/>
      <c r="FK315" s="1230"/>
      <c r="FL315" s="1230"/>
      <c r="FM315" s="1230"/>
      <c r="FN315" s="1230"/>
      <c r="FO315" s="1230"/>
      <c r="FP315" s="1230"/>
      <c r="FQ315" s="1230"/>
      <c r="FR315" s="1230"/>
      <c r="FS315" s="1230"/>
      <c r="FT315" s="1230"/>
      <c r="FU315" s="1230"/>
      <c r="FV315" s="1230"/>
      <c r="FW315" s="1230"/>
      <c r="FX315" s="1231"/>
      <c r="FY315" s="1231"/>
      <c r="FZ315" s="1152"/>
      <c r="GA315" s="1153"/>
    </row>
    <row r="316" spans="158:183" x14ac:dyDescent="0.35">
      <c r="FB316" s="1230"/>
      <c r="FC316" s="1230"/>
      <c r="FD316" s="1230"/>
      <c r="FE316" s="1228"/>
      <c r="FF316" s="1230"/>
      <c r="FG316" s="1230"/>
      <c r="FH316" s="1230"/>
      <c r="FI316" s="1230"/>
      <c r="FJ316" s="1230"/>
      <c r="FK316" s="1230"/>
      <c r="FL316" s="1230"/>
      <c r="FM316" s="1230"/>
      <c r="FN316" s="1230"/>
      <c r="FO316" s="1230"/>
      <c r="FP316" s="1230"/>
      <c r="FQ316" s="1230"/>
      <c r="FR316" s="1230"/>
      <c r="FS316" s="1230"/>
      <c r="FT316" s="1230"/>
      <c r="FU316" s="1230"/>
      <c r="FV316" s="1230"/>
      <c r="FW316" s="1230"/>
      <c r="FX316" s="1231"/>
      <c r="FY316" s="1231"/>
      <c r="FZ316" s="1152"/>
      <c r="GA316" s="1153"/>
    </row>
    <row r="317" spans="158:183" x14ac:dyDescent="0.35">
      <c r="FB317" s="1230"/>
      <c r="FC317" s="1230"/>
      <c r="FD317" s="1230"/>
      <c r="FE317" s="1228"/>
      <c r="FF317" s="1230"/>
      <c r="FG317" s="1230"/>
      <c r="FH317" s="1230"/>
      <c r="FI317" s="1230"/>
      <c r="FJ317" s="1230"/>
      <c r="FK317" s="1230"/>
      <c r="FL317" s="1230"/>
      <c r="FM317" s="1230"/>
      <c r="FN317" s="1230"/>
      <c r="FO317" s="1230"/>
      <c r="FP317" s="1230"/>
      <c r="FQ317" s="1230"/>
      <c r="FR317" s="1230"/>
      <c r="FS317" s="1230"/>
      <c r="FT317" s="1230"/>
      <c r="FU317" s="1230"/>
      <c r="FV317" s="1230"/>
      <c r="FW317" s="1230"/>
      <c r="FX317" s="1231"/>
      <c r="FY317" s="1231"/>
      <c r="FZ317" s="1152"/>
      <c r="GA317" s="1153"/>
    </row>
    <row r="318" spans="158:183" x14ac:dyDescent="0.35">
      <c r="FB318" s="1230"/>
      <c r="FC318" s="1230"/>
      <c r="FD318" s="1230"/>
      <c r="FE318" s="1228"/>
      <c r="FF318" s="1230"/>
      <c r="FG318" s="1230"/>
      <c r="FH318" s="1230"/>
      <c r="FI318" s="1230"/>
      <c r="FJ318" s="1230"/>
      <c r="FK318" s="1230"/>
      <c r="FL318" s="1230"/>
      <c r="FM318" s="1230"/>
      <c r="FN318" s="1230"/>
      <c r="FO318" s="1230"/>
      <c r="FP318" s="1230"/>
      <c r="FQ318" s="1230"/>
      <c r="FR318" s="1230"/>
      <c r="FS318" s="1230"/>
      <c r="FT318" s="1230"/>
      <c r="FU318" s="1230"/>
      <c r="FV318" s="1230"/>
      <c r="FW318" s="1230"/>
      <c r="FX318" s="1231"/>
      <c r="FY318" s="1231"/>
      <c r="FZ318" s="1152"/>
      <c r="GA318" s="1153"/>
    </row>
    <row r="319" spans="158:183" x14ac:dyDescent="0.35">
      <c r="FB319" s="1230"/>
      <c r="FC319" s="1230"/>
      <c r="FD319" s="1230"/>
      <c r="FE319" s="1228"/>
      <c r="FF319" s="1230"/>
      <c r="FG319" s="1230"/>
      <c r="FH319" s="1230"/>
      <c r="FI319" s="1230"/>
      <c r="FJ319" s="1230"/>
      <c r="FK319" s="1230"/>
      <c r="FL319" s="1230"/>
      <c r="FM319" s="1230"/>
      <c r="FN319" s="1230"/>
      <c r="FO319" s="1230"/>
      <c r="FP319" s="1230"/>
      <c r="FQ319" s="1230"/>
      <c r="FR319" s="1230"/>
      <c r="FS319" s="1230"/>
      <c r="FT319" s="1230"/>
      <c r="FU319" s="1230"/>
      <c r="FV319" s="1230"/>
      <c r="FW319" s="1230"/>
      <c r="FX319" s="1231"/>
      <c r="FY319" s="1231"/>
      <c r="FZ319" s="1152"/>
      <c r="GA319" s="1153"/>
    </row>
    <row r="320" spans="158:183" x14ac:dyDescent="0.35">
      <c r="FB320" s="1230"/>
      <c r="FC320" s="1230"/>
      <c r="FD320" s="1230"/>
      <c r="FE320" s="1228"/>
      <c r="FF320" s="1230"/>
      <c r="FG320" s="1230"/>
      <c r="FH320" s="1230"/>
      <c r="FI320" s="1230"/>
      <c r="FJ320" s="1230"/>
      <c r="FK320" s="1230"/>
      <c r="FL320" s="1230"/>
      <c r="FM320" s="1230"/>
      <c r="FN320" s="1230"/>
      <c r="FO320" s="1230"/>
      <c r="FP320" s="1230"/>
      <c r="FQ320" s="1230"/>
      <c r="FR320" s="1230"/>
      <c r="FS320" s="1230"/>
      <c r="FT320" s="1230"/>
      <c r="FU320" s="1230"/>
      <c r="FV320" s="1230"/>
      <c r="FW320" s="1230"/>
      <c r="FX320" s="1231"/>
      <c r="FY320" s="1231"/>
      <c r="FZ320" s="1152"/>
      <c r="GA320" s="1153"/>
    </row>
    <row r="321" spans="158:183" x14ac:dyDescent="0.35">
      <c r="FB321" s="1230"/>
      <c r="FC321" s="1230"/>
      <c r="FD321" s="1230"/>
      <c r="FE321" s="1228"/>
      <c r="FF321" s="1230"/>
      <c r="FG321" s="1230"/>
      <c r="FH321" s="1230"/>
      <c r="FI321" s="1230"/>
      <c r="FJ321" s="1230"/>
      <c r="FK321" s="1230"/>
      <c r="FL321" s="1230"/>
      <c r="FM321" s="1230"/>
      <c r="FN321" s="1230"/>
      <c r="FO321" s="1230"/>
      <c r="FP321" s="1230"/>
      <c r="FQ321" s="1230"/>
      <c r="FR321" s="1230"/>
      <c r="FS321" s="1230"/>
      <c r="FT321" s="1230"/>
      <c r="FU321" s="1230"/>
      <c r="FV321" s="1230"/>
      <c r="FW321" s="1230"/>
      <c r="FX321" s="1231"/>
      <c r="FY321" s="1231"/>
      <c r="FZ321" s="1152"/>
      <c r="GA321" s="1153"/>
    </row>
    <row r="322" spans="158:183" x14ac:dyDescent="0.35">
      <c r="FB322" s="1230"/>
      <c r="FC322" s="1230"/>
      <c r="FD322" s="1230"/>
      <c r="FE322" s="1228"/>
      <c r="FF322" s="1230"/>
      <c r="FG322" s="1230"/>
      <c r="FH322" s="1230"/>
      <c r="FI322" s="1230"/>
      <c r="FJ322" s="1230"/>
      <c r="FK322" s="1230"/>
      <c r="FL322" s="1230"/>
      <c r="FM322" s="1230"/>
      <c r="FN322" s="1230"/>
      <c r="FO322" s="1230"/>
      <c r="FP322" s="1230"/>
      <c r="FQ322" s="1230"/>
      <c r="FR322" s="1230"/>
      <c r="FS322" s="1230"/>
      <c r="FT322" s="1230"/>
      <c r="FU322" s="1230"/>
      <c r="FV322" s="1230"/>
      <c r="FW322" s="1230"/>
      <c r="FX322" s="1231"/>
      <c r="FY322" s="1231"/>
      <c r="FZ322" s="1152"/>
      <c r="GA322" s="1153"/>
    </row>
    <row r="323" spans="158:183" x14ac:dyDescent="0.35">
      <c r="FB323" s="1230"/>
      <c r="FC323" s="1230"/>
      <c r="FD323" s="1230"/>
      <c r="FE323" s="1230"/>
      <c r="FF323" s="1230"/>
      <c r="FG323" s="1230"/>
      <c r="FH323" s="1230"/>
      <c r="FI323" s="1230"/>
      <c r="FJ323" s="1230"/>
      <c r="FK323" s="1230"/>
      <c r="FL323" s="1230"/>
      <c r="FM323" s="1230"/>
      <c r="FN323" s="1230"/>
      <c r="FO323" s="1230"/>
      <c r="FP323" s="1230"/>
      <c r="FQ323" s="1230"/>
      <c r="FR323" s="1230"/>
      <c r="FS323" s="1230"/>
      <c r="FT323" s="1230"/>
      <c r="FU323" s="1230"/>
      <c r="FV323" s="1230"/>
      <c r="FW323" s="1230"/>
      <c r="FX323" s="1231"/>
      <c r="FY323" s="1231"/>
      <c r="FZ323" s="1152"/>
      <c r="GA323" s="1153"/>
    </row>
    <row r="324" spans="158:183" x14ac:dyDescent="0.35">
      <c r="FB324" s="1230"/>
      <c r="FC324" s="1230"/>
      <c r="FD324" s="1230"/>
      <c r="FE324" s="1230"/>
      <c r="FF324" s="1230"/>
      <c r="FG324" s="1230"/>
      <c r="FH324" s="1230"/>
      <c r="FI324" s="1230"/>
      <c r="FJ324" s="1230"/>
      <c r="FK324" s="1230"/>
      <c r="FL324" s="1230"/>
      <c r="FM324" s="1230"/>
      <c r="FN324" s="1230"/>
      <c r="FO324" s="1230"/>
      <c r="FP324" s="1230"/>
      <c r="FQ324" s="1230"/>
      <c r="FR324" s="1230"/>
      <c r="FS324" s="1230"/>
      <c r="FT324" s="1230"/>
      <c r="FU324" s="1230"/>
      <c r="FV324" s="1230"/>
      <c r="FW324" s="1230"/>
      <c r="FX324" s="1231"/>
      <c r="FY324" s="1231"/>
      <c r="FZ324" s="1152"/>
      <c r="GA324" s="1153"/>
    </row>
    <row r="325" spans="158:183" x14ac:dyDescent="0.35">
      <c r="FB325" s="1230"/>
      <c r="FC325" s="1230"/>
      <c r="FD325" s="1230"/>
      <c r="FE325" s="1230"/>
      <c r="FF325" s="1230"/>
      <c r="FG325" s="1230"/>
      <c r="FH325" s="1230"/>
      <c r="FI325" s="1230"/>
      <c r="FJ325" s="1230"/>
      <c r="FK325" s="1230"/>
      <c r="FL325" s="1230"/>
      <c r="FM325" s="1230"/>
      <c r="FN325" s="1230"/>
      <c r="FO325" s="1230"/>
      <c r="FP325" s="1230"/>
      <c r="FQ325" s="1230"/>
      <c r="FR325" s="1230"/>
      <c r="FS325" s="1230"/>
      <c r="FT325" s="1230"/>
      <c r="FU325" s="1230"/>
      <c r="FV325" s="1230"/>
      <c r="FW325" s="1230"/>
      <c r="FX325" s="1231"/>
      <c r="FY325" s="1231"/>
      <c r="FZ325" s="1152"/>
      <c r="GA325" s="1153"/>
    </row>
    <row r="326" spans="158:183" x14ac:dyDescent="0.35">
      <c r="FB326" s="1230"/>
      <c r="FC326" s="1230"/>
      <c r="FD326" s="1230"/>
      <c r="FE326" s="1230"/>
      <c r="FF326" s="1230"/>
      <c r="FG326" s="1230"/>
      <c r="FH326" s="1230"/>
      <c r="FI326" s="1230"/>
      <c r="FJ326" s="1230"/>
      <c r="FK326" s="1230"/>
      <c r="FL326" s="1230"/>
      <c r="FM326" s="1230"/>
      <c r="FN326" s="1230"/>
      <c r="FO326" s="1230"/>
      <c r="FP326" s="1230"/>
      <c r="FQ326" s="1230"/>
      <c r="FR326" s="1230"/>
      <c r="FS326" s="1230"/>
      <c r="FT326" s="1230"/>
      <c r="FU326" s="1230"/>
      <c r="FV326" s="1230"/>
      <c r="FW326" s="1230"/>
      <c r="FX326" s="1231"/>
      <c r="FY326" s="1231"/>
      <c r="FZ326" s="1152"/>
      <c r="GA326" s="1153"/>
    </row>
    <row r="327" spans="158:183" x14ac:dyDescent="0.35">
      <c r="FB327" s="1230"/>
      <c r="FC327" s="1230"/>
      <c r="FD327" s="1230"/>
      <c r="FE327" s="1230"/>
      <c r="FF327" s="1230"/>
      <c r="FG327" s="1230"/>
      <c r="FH327" s="1230"/>
      <c r="FI327" s="1230"/>
      <c r="FJ327" s="1230"/>
      <c r="FK327" s="1230"/>
      <c r="FL327" s="1230"/>
      <c r="FM327" s="1230"/>
      <c r="FN327" s="1230"/>
      <c r="FO327" s="1230"/>
      <c r="FP327" s="1230"/>
      <c r="FQ327" s="1230"/>
      <c r="FR327" s="1230"/>
      <c r="FS327" s="1230"/>
      <c r="FT327" s="1230"/>
      <c r="FU327" s="1230"/>
      <c r="FV327" s="1230"/>
      <c r="FW327" s="1230"/>
      <c r="FX327" s="1231"/>
      <c r="FY327" s="1231"/>
      <c r="FZ327" s="1152"/>
      <c r="GA327" s="1153"/>
    </row>
    <row r="328" spans="158:183" x14ac:dyDescent="0.35">
      <c r="FB328" s="1230"/>
      <c r="FC328" s="1230"/>
      <c r="FD328" s="1230"/>
      <c r="FE328" s="1230"/>
      <c r="FF328" s="1230"/>
      <c r="FG328" s="1230"/>
      <c r="FH328" s="1230"/>
      <c r="FI328" s="1230"/>
      <c r="FJ328" s="1230"/>
      <c r="FK328" s="1230"/>
      <c r="FL328" s="1230"/>
      <c r="FM328" s="1230"/>
      <c r="FN328" s="1230"/>
      <c r="FO328" s="1230"/>
      <c r="FP328" s="1230"/>
      <c r="FQ328" s="1230"/>
      <c r="FR328" s="1230"/>
      <c r="FS328" s="1230"/>
      <c r="FT328" s="1230"/>
      <c r="FU328" s="1230"/>
      <c r="FV328" s="1230"/>
      <c r="FW328" s="1230"/>
      <c r="FX328" s="1231"/>
      <c r="FY328" s="1231"/>
      <c r="FZ328" s="1152"/>
      <c r="GA328" s="1153"/>
    </row>
    <row r="329" spans="158:183" x14ac:dyDescent="0.35">
      <c r="FB329" s="1230"/>
      <c r="FC329" s="1230"/>
      <c r="FD329" s="1230"/>
      <c r="FE329" s="1230"/>
      <c r="FF329" s="1230"/>
      <c r="FG329" s="1230"/>
      <c r="FH329" s="1230"/>
      <c r="FI329" s="1230"/>
      <c r="FJ329" s="1230"/>
      <c r="FK329" s="1230"/>
      <c r="FL329" s="1230"/>
      <c r="FM329" s="1230"/>
      <c r="FN329" s="1230"/>
      <c r="FO329" s="1230"/>
      <c r="FP329" s="1230"/>
      <c r="FQ329" s="1230"/>
      <c r="FR329" s="1230"/>
      <c r="FS329" s="1230"/>
      <c r="FT329" s="1230"/>
      <c r="FU329" s="1230"/>
      <c r="FV329" s="1230"/>
      <c r="FW329" s="1230"/>
      <c r="FX329" s="1231"/>
      <c r="FY329" s="1231"/>
      <c r="FZ329" s="1152"/>
      <c r="GA329" s="1153"/>
    </row>
    <row r="330" spans="158:183" x14ac:dyDescent="0.35">
      <c r="FB330" s="1230"/>
      <c r="FC330" s="1230"/>
      <c r="FD330" s="1230"/>
      <c r="FE330" s="1230"/>
      <c r="FF330" s="1230"/>
      <c r="FG330" s="1230"/>
      <c r="FH330" s="1230"/>
      <c r="FI330" s="1230"/>
      <c r="FJ330" s="1230"/>
      <c r="FK330" s="1230"/>
      <c r="FL330" s="1230"/>
      <c r="FM330" s="1230"/>
      <c r="FN330" s="1230"/>
      <c r="FO330" s="1230"/>
      <c r="FP330" s="1230"/>
      <c r="FQ330" s="1230"/>
      <c r="FR330" s="1230"/>
      <c r="FS330" s="1230"/>
      <c r="FT330" s="1230"/>
      <c r="FU330" s="1230"/>
      <c r="FV330" s="1230"/>
      <c r="FW330" s="1230"/>
      <c r="FX330" s="1231"/>
      <c r="FY330" s="1231"/>
      <c r="FZ330" s="1152"/>
      <c r="GA330" s="1153"/>
    </row>
    <row r="331" spans="158:183" x14ac:dyDescent="0.35">
      <c r="FB331" s="1230"/>
      <c r="FC331" s="1230"/>
      <c r="FD331" s="1230"/>
      <c r="FE331" s="1230"/>
      <c r="FF331" s="1230"/>
      <c r="FG331" s="1230"/>
      <c r="FH331" s="1230"/>
      <c r="FI331" s="1230"/>
      <c r="FJ331" s="1230"/>
      <c r="FK331" s="1230"/>
      <c r="FL331" s="1230"/>
      <c r="FM331" s="1230"/>
      <c r="FN331" s="1230"/>
      <c r="FO331" s="1230"/>
      <c r="FP331" s="1230"/>
      <c r="FQ331" s="1230"/>
      <c r="FR331" s="1230"/>
      <c r="FS331" s="1230"/>
      <c r="FT331" s="1230"/>
      <c r="FU331" s="1230"/>
      <c r="FV331" s="1230"/>
      <c r="FW331" s="1230"/>
      <c r="FX331" s="1231"/>
      <c r="FY331" s="1231"/>
      <c r="FZ331" s="1152"/>
      <c r="GA331" s="1153"/>
    </row>
    <row r="332" spans="158:183" x14ac:dyDescent="0.35">
      <c r="FB332" s="1230"/>
      <c r="FC332" s="1230"/>
      <c r="FD332" s="1230"/>
      <c r="FE332" s="1230"/>
      <c r="FF332" s="1230"/>
      <c r="FG332" s="1230"/>
      <c r="FH332" s="1230"/>
      <c r="FI332" s="1230"/>
      <c r="FJ332" s="1230"/>
      <c r="FK332" s="1230"/>
      <c r="FL332" s="1230"/>
      <c r="FM332" s="1230"/>
      <c r="FN332" s="1230"/>
      <c r="FO332" s="1230"/>
      <c r="FP332" s="1230"/>
      <c r="FQ332" s="1230"/>
      <c r="FR332" s="1230"/>
      <c r="FS332" s="1230"/>
      <c r="FT332" s="1230"/>
      <c r="FU332" s="1230"/>
      <c r="FV332" s="1230"/>
      <c r="FW332" s="1230"/>
      <c r="FX332" s="1231"/>
      <c r="FY332" s="1231"/>
      <c r="FZ332" s="1152"/>
      <c r="GA332" s="1153"/>
    </row>
    <row r="333" spans="158:183" x14ac:dyDescent="0.35">
      <c r="FB333" s="1230"/>
      <c r="FC333" s="1230"/>
      <c r="FD333" s="1230"/>
      <c r="FE333" s="1230"/>
      <c r="FF333" s="1230"/>
      <c r="FG333" s="1230"/>
      <c r="FH333" s="1230"/>
      <c r="FI333" s="1230"/>
      <c r="FJ333" s="1230"/>
      <c r="FK333" s="1230"/>
      <c r="FL333" s="1230"/>
      <c r="FM333" s="1230"/>
      <c r="FN333" s="1230"/>
      <c r="FO333" s="1230"/>
      <c r="FP333" s="1230"/>
      <c r="FQ333" s="1230"/>
      <c r="FR333" s="1230"/>
      <c r="FS333" s="1230"/>
      <c r="FT333" s="1230"/>
      <c r="FU333" s="1230"/>
      <c r="FV333" s="1230"/>
      <c r="FW333" s="1230"/>
      <c r="FX333" s="1231"/>
      <c r="FY333" s="1231"/>
      <c r="FZ333" s="1152"/>
      <c r="GA333" s="1153"/>
    </row>
    <row r="334" spans="158:183" x14ac:dyDescent="0.35">
      <c r="FB334" s="1230"/>
      <c r="FC334" s="1230"/>
      <c r="FD334" s="1230"/>
      <c r="FE334" s="1230"/>
      <c r="FF334" s="1230"/>
      <c r="FG334" s="1230"/>
      <c r="FH334" s="1230"/>
      <c r="FI334" s="1230"/>
      <c r="FJ334" s="1230"/>
      <c r="FK334" s="1230"/>
      <c r="FL334" s="1230"/>
      <c r="FM334" s="1230"/>
      <c r="FN334" s="1230"/>
      <c r="FO334" s="1230"/>
      <c r="FP334" s="1230"/>
      <c r="FQ334" s="1230"/>
      <c r="FR334" s="1230"/>
      <c r="FS334" s="1230"/>
      <c r="FT334" s="1230"/>
      <c r="FU334" s="1230"/>
      <c r="FV334" s="1230"/>
      <c r="FW334" s="1230"/>
      <c r="FX334" s="1231"/>
      <c r="FY334" s="1231"/>
      <c r="FZ334" s="1152"/>
      <c r="GA334" s="1153"/>
    </row>
    <row r="335" spans="158:183" x14ac:dyDescent="0.35">
      <c r="FB335" s="1230"/>
      <c r="FC335" s="1230"/>
      <c r="FD335" s="1230"/>
      <c r="FE335" s="1230"/>
      <c r="FF335" s="1230"/>
      <c r="FG335" s="1230"/>
      <c r="FH335" s="1230"/>
      <c r="FI335" s="1230"/>
      <c r="FJ335" s="1230"/>
      <c r="FK335" s="1230"/>
      <c r="FL335" s="1230"/>
      <c r="FM335" s="1230"/>
      <c r="FN335" s="1230"/>
      <c r="FO335" s="1230"/>
      <c r="FP335" s="1230"/>
      <c r="FQ335" s="1230"/>
      <c r="FR335" s="1230"/>
      <c r="FS335" s="1230"/>
      <c r="FT335" s="1230"/>
      <c r="FU335" s="1230"/>
      <c r="FV335" s="1230"/>
      <c r="FW335" s="1230"/>
      <c r="FX335" s="1231"/>
      <c r="FY335" s="1231"/>
      <c r="FZ335" s="1152"/>
      <c r="GA335" s="1153"/>
    </row>
    <row r="336" spans="158:183" x14ac:dyDescent="0.35">
      <c r="FB336" s="1230"/>
      <c r="FC336" s="1230"/>
      <c r="FD336" s="1230"/>
      <c r="FE336" s="1230"/>
      <c r="FF336" s="1230"/>
      <c r="FG336" s="1230"/>
      <c r="FH336" s="1230"/>
      <c r="FI336" s="1230"/>
      <c r="FJ336" s="1230"/>
      <c r="FK336" s="1230"/>
      <c r="FL336" s="1230"/>
      <c r="FM336" s="1230"/>
      <c r="FN336" s="1230"/>
      <c r="FO336" s="1230"/>
      <c r="FP336" s="1230"/>
      <c r="FQ336" s="1230"/>
      <c r="FR336" s="1230"/>
      <c r="FS336" s="1230"/>
      <c r="FT336" s="1230"/>
      <c r="FU336" s="1230"/>
      <c r="FV336" s="1230"/>
      <c r="FW336" s="1230"/>
      <c r="FX336" s="1231"/>
      <c r="FY336" s="1231"/>
      <c r="FZ336" s="1152"/>
      <c r="GA336" s="1153"/>
    </row>
    <row r="337" spans="158:183" x14ac:dyDescent="0.35">
      <c r="FB337" s="1230"/>
      <c r="FC337" s="1230"/>
      <c r="FD337" s="1230"/>
      <c r="FE337" s="1230"/>
      <c r="FF337" s="1230"/>
      <c r="FG337" s="1230"/>
      <c r="FH337" s="1230"/>
      <c r="FI337" s="1230"/>
      <c r="FJ337" s="1230"/>
      <c r="FK337" s="1230"/>
      <c r="FL337" s="1230"/>
      <c r="FM337" s="1230"/>
      <c r="FN337" s="1230"/>
      <c r="FO337" s="1230"/>
      <c r="FP337" s="1230"/>
      <c r="FQ337" s="1230"/>
      <c r="FR337" s="1230"/>
      <c r="FS337" s="1230"/>
      <c r="FT337" s="1230"/>
      <c r="FU337" s="1230"/>
      <c r="FV337" s="1230"/>
      <c r="FW337" s="1230"/>
      <c r="FX337" s="1231"/>
      <c r="FY337" s="1231"/>
      <c r="FZ337" s="1152"/>
      <c r="GA337" s="1153"/>
    </row>
    <row r="338" spans="158:183" x14ac:dyDescent="0.35">
      <c r="FB338" s="1230"/>
      <c r="FC338" s="1230"/>
      <c r="FD338" s="1230"/>
      <c r="FE338" s="1230"/>
      <c r="FF338" s="1230"/>
      <c r="FG338" s="1230"/>
      <c r="FH338" s="1230"/>
      <c r="FI338" s="1230"/>
      <c r="FJ338" s="1230"/>
      <c r="FK338" s="1230"/>
      <c r="FL338" s="1230"/>
      <c r="FM338" s="1230"/>
      <c r="FN338" s="1230"/>
      <c r="FO338" s="1230"/>
      <c r="FP338" s="1230"/>
      <c r="FQ338" s="1230"/>
      <c r="FR338" s="1230"/>
      <c r="FS338" s="1230"/>
      <c r="FT338" s="1230"/>
      <c r="FU338" s="1230"/>
      <c r="FV338" s="1230"/>
      <c r="FW338" s="1230"/>
      <c r="FX338" s="1231"/>
      <c r="FY338" s="1231"/>
      <c r="FZ338" s="1152"/>
      <c r="GA338" s="1153"/>
    </row>
    <row r="339" spans="158:183" x14ac:dyDescent="0.35">
      <c r="FB339" s="1230"/>
      <c r="FC339" s="1230"/>
      <c r="FD339" s="1230"/>
      <c r="FE339" s="1230"/>
      <c r="FF339" s="1230"/>
      <c r="FG339" s="1230"/>
      <c r="FH339" s="1230"/>
      <c r="FI339" s="1230"/>
      <c r="FJ339" s="1230"/>
      <c r="FK339" s="1230"/>
      <c r="FL339" s="1230"/>
      <c r="FM339" s="1230"/>
      <c r="FN339" s="1230"/>
      <c r="FO339" s="1230"/>
      <c r="FP339" s="1230"/>
      <c r="FQ339" s="1230"/>
      <c r="FR339" s="1230"/>
      <c r="FS339" s="1230"/>
      <c r="FT339" s="1230"/>
      <c r="FU339" s="1230"/>
      <c r="FV339" s="1230"/>
      <c r="FW339" s="1230"/>
      <c r="FX339" s="1231"/>
      <c r="FY339" s="1231"/>
      <c r="FZ339" s="1152"/>
      <c r="GA339" s="1153"/>
    </row>
    <row r="340" spans="158:183" x14ac:dyDescent="0.35">
      <c r="FB340" s="1230"/>
      <c r="FC340" s="1230"/>
      <c r="FD340" s="1230"/>
      <c r="FE340" s="1230"/>
      <c r="FF340" s="1230"/>
      <c r="FG340" s="1230"/>
      <c r="FH340" s="1230"/>
      <c r="FI340" s="1230"/>
      <c r="FJ340" s="1230"/>
      <c r="FK340" s="1230"/>
      <c r="FL340" s="1230"/>
      <c r="FM340" s="1230"/>
      <c r="FN340" s="1230"/>
      <c r="FO340" s="1230"/>
      <c r="FP340" s="1230"/>
      <c r="FQ340" s="1230"/>
      <c r="FR340" s="1230"/>
      <c r="FS340" s="1230"/>
      <c r="FT340" s="1230"/>
      <c r="FU340" s="1230"/>
      <c r="FV340" s="1230"/>
      <c r="FW340" s="1230"/>
      <c r="FX340" s="1231"/>
      <c r="FY340" s="1231"/>
      <c r="FZ340" s="1152"/>
      <c r="GA340" s="1153"/>
    </row>
    <row r="341" spans="158:183" x14ac:dyDescent="0.35">
      <c r="FB341" s="1230"/>
      <c r="FC341" s="1230"/>
      <c r="FD341" s="1230"/>
      <c r="FE341" s="1230"/>
      <c r="FF341" s="1230"/>
      <c r="FG341" s="1230"/>
      <c r="FH341" s="1230"/>
      <c r="FI341" s="1230"/>
      <c r="FJ341" s="1230"/>
      <c r="FK341" s="1230"/>
      <c r="FL341" s="1230"/>
      <c r="FM341" s="1230"/>
      <c r="FN341" s="1230"/>
      <c r="FO341" s="1230"/>
      <c r="FP341" s="1230"/>
      <c r="FQ341" s="1230"/>
      <c r="FR341" s="1230"/>
      <c r="FS341" s="1230"/>
      <c r="FT341" s="1230"/>
      <c r="FU341" s="1230"/>
      <c r="FV341" s="1230"/>
      <c r="FW341" s="1230"/>
      <c r="FX341" s="1231"/>
      <c r="FY341" s="1231"/>
      <c r="FZ341" s="1152"/>
      <c r="GA341" s="1153"/>
    </row>
    <row r="342" spans="158:183" x14ac:dyDescent="0.35">
      <c r="FB342" s="1230"/>
      <c r="FC342" s="1230"/>
      <c r="FD342" s="1230"/>
      <c r="FE342" s="1230"/>
      <c r="FF342" s="1230"/>
      <c r="FG342" s="1230"/>
      <c r="FH342" s="1230"/>
      <c r="FI342" s="1230"/>
      <c r="FJ342" s="1230"/>
      <c r="FK342" s="1230"/>
      <c r="FL342" s="1230"/>
      <c r="FM342" s="1230"/>
      <c r="FN342" s="1230"/>
      <c r="FO342" s="1230"/>
      <c r="FP342" s="1230"/>
      <c r="FQ342" s="1230"/>
      <c r="FR342" s="1230"/>
      <c r="FS342" s="1230"/>
      <c r="FT342" s="1230"/>
      <c r="FU342" s="1230"/>
      <c r="FV342" s="1230"/>
      <c r="FW342" s="1230"/>
      <c r="FX342" s="1231"/>
      <c r="FY342" s="1231"/>
      <c r="FZ342" s="1152"/>
      <c r="GA342" s="1153"/>
    </row>
    <row r="343" spans="158:183" x14ac:dyDescent="0.35">
      <c r="FB343" s="1230"/>
      <c r="FC343" s="1230"/>
      <c r="FD343" s="1230"/>
      <c r="FE343" s="1230"/>
      <c r="FF343" s="1230"/>
      <c r="FG343" s="1230"/>
      <c r="FH343" s="1230"/>
      <c r="FI343" s="1230"/>
      <c r="FJ343" s="1230"/>
      <c r="FK343" s="1230"/>
      <c r="FL343" s="1230"/>
      <c r="FM343" s="1230"/>
      <c r="FN343" s="1230"/>
      <c r="FO343" s="1230"/>
      <c r="FP343" s="1230"/>
      <c r="FQ343" s="1230"/>
      <c r="FR343" s="1230"/>
      <c r="FS343" s="1230"/>
      <c r="FT343" s="1230"/>
      <c r="FU343" s="1230"/>
      <c r="FV343" s="1230"/>
      <c r="FW343" s="1230"/>
      <c r="FX343" s="1231"/>
      <c r="FY343" s="1231"/>
      <c r="FZ343" s="1152"/>
      <c r="GA343" s="1153"/>
    </row>
    <row r="344" spans="158:183" x14ac:dyDescent="0.35">
      <c r="FB344" s="1230"/>
      <c r="FC344" s="1230"/>
      <c r="FD344" s="1230"/>
      <c r="FE344" s="1230"/>
      <c r="FF344" s="1230"/>
      <c r="FG344" s="1230"/>
      <c r="FH344" s="1230"/>
      <c r="FI344" s="1230"/>
      <c r="FJ344" s="1230"/>
      <c r="FK344" s="1230"/>
      <c r="FL344" s="1230"/>
      <c r="FM344" s="1230"/>
      <c r="FN344" s="1230"/>
      <c r="FO344" s="1230"/>
      <c r="FP344" s="1230"/>
      <c r="FQ344" s="1230"/>
      <c r="FR344" s="1230"/>
      <c r="FS344" s="1230"/>
      <c r="FT344" s="1230"/>
      <c r="FU344" s="1230"/>
      <c r="FV344" s="1230"/>
      <c r="FW344" s="1230"/>
      <c r="FX344" s="1231"/>
      <c r="FY344" s="1231"/>
      <c r="FZ344" s="1152"/>
      <c r="GA344" s="1153"/>
    </row>
    <row r="345" spans="158:183" x14ac:dyDescent="0.35">
      <c r="FB345" s="1230"/>
      <c r="FC345" s="1230"/>
      <c r="FD345" s="1230"/>
      <c r="FE345" s="1230"/>
      <c r="FF345" s="1230"/>
      <c r="FG345" s="1230"/>
      <c r="FH345" s="1230"/>
      <c r="FI345" s="1230"/>
      <c r="FJ345" s="1230"/>
      <c r="FK345" s="1230"/>
      <c r="FL345" s="1230"/>
      <c r="FM345" s="1230"/>
      <c r="FN345" s="1230"/>
      <c r="FO345" s="1230"/>
      <c r="FP345" s="1230"/>
      <c r="FQ345" s="1230"/>
      <c r="FR345" s="1230"/>
      <c r="FS345" s="1230"/>
      <c r="FT345" s="1230"/>
      <c r="FU345" s="1230"/>
      <c r="FV345" s="1230"/>
      <c r="FW345" s="1230"/>
      <c r="FX345" s="1231"/>
      <c r="FY345" s="1231"/>
      <c r="FZ345" s="1152"/>
      <c r="GA345" s="1153"/>
    </row>
    <row r="346" spans="158:183" x14ac:dyDescent="0.35">
      <c r="FB346" s="1230"/>
      <c r="FC346" s="1230"/>
      <c r="FD346" s="1230"/>
      <c r="FE346" s="1230"/>
      <c r="FF346" s="1230"/>
      <c r="FG346" s="1230"/>
      <c r="FH346" s="1230"/>
      <c r="FI346" s="1230"/>
      <c r="FJ346" s="1230"/>
      <c r="FK346" s="1230"/>
      <c r="FL346" s="1230"/>
      <c r="FM346" s="1230"/>
      <c r="FN346" s="1230"/>
      <c r="FO346" s="1230"/>
      <c r="FP346" s="1230"/>
      <c r="FQ346" s="1230"/>
      <c r="FR346" s="1230"/>
      <c r="FS346" s="1230"/>
      <c r="FT346" s="1230"/>
      <c r="FU346" s="1230"/>
      <c r="FV346" s="1230"/>
      <c r="FW346" s="1230"/>
      <c r="FX346" s="1231"/>
      <c r="FY346" s="1231"/>
      <c r="FZ346" s="1152"/>
      <c r="GA346" s="1153"/>
    </row>
    <row r="347" spans="158:183" x14ac:dyDescent="0.35">
      <c r="FB347" s="1230"/>
      <c r="FC347" s="1230"/>
      <c r="FD347" s="1230"/>
      <c r="FE347" s="1230"/>
      <c r="FF347" s="1230"/>
      <c r="FG347" s="1230"/>
      <c r="FH347" s="1230"/>
      <c r="FI347" s="1230"/>
      <c r="FJ347" s="1230"/>
      <c r="FK347" s="1230"/>
      <c r="FL347" s="1230"/>
      <c r="FM347" s="1230"/>
      <c r="FN347" s="1230"/>
      <c r="FO347" s="1230"/>
      <c r="FP347" s="1230"/>
      <c r="FQ347" s="1230"/>
      <c r="FR347" s="1230"/>
      <c r="FS347" s="1230"/>
      <c r="FT347" s="1230"/>
      <c r="FU347" s="1230"/>
      <c r="FV347" s="1230"/>
      <c r="FW347" s="1230"/>
      <c r="FX347" s="1231"/>
      <c r="FY347" s="1231"/>
      <c r="FZ347" s="1152"/>
      <c r="GA347" s="1153"/>
    </row>
    <row r="348" spans="158:183" x14ac:dyDescent="0.35">
      <c r="FB348" s="1230"/>
      <c r="FC348" s="1230"/>
      <c r="FD348" s="1230"/>
      <c r="FE348" s="1230"/>
      <c r="FH348" s="1230"/>
      <c r="FI348" s="1230"/>
      <c r="FJ348" s="1230"/>
      <c r="FK348" s="1230"/>
      <c r="FL348" s="1230"/>
      <c r="FM348" s="1230"/>
      <c r="FN348" s="1230"/>
      <c r="FO348" s="1230"/>
      <c r="FP348" s="1230"/>
      <c r="FQ348" s="1230"/>
      <c r="FR348" s="1230"/>
      <c r="FS348" s="1230"/>
      <c r="FT348" s="1230"/>
      <c r="FU348" s="1230"/>
      <c r="FV348" s="1230"/>
      <c r="FW348" s="1230"/>
      <c r="FX348" s="1231"/>
      <c r="FY348" s="1231"/>
      <c r="FZ348" s="1152"/>
      <c r="GA348" s="1153"/>
    </row>
    <row r="349" spans="158:183" x14ac:dyDescent="0.35">
      <c r="FB349" s="1230"/>
      <c r="FC349" s="1230"/>
      <c r="FD349" s="1230"/>
      <c r="FE349" s="1230"/>
      <c r="FH349" s="1230"/>
      <c r="FI349" s="1230"/>
      <c r="FJ349" s="1230"/>
      <c r="FK349" s="1230"/>
      <c r="FL349" s="1230"/>
      <c r="FM349" s="1230"/>
      <c r="FN349" s="1230"/>
      <c r="FO349" s="1230"/>
      <c r="FP349" s="1230"/>
      <c r="FQ349" s="1230"/>
      <c r="FR349" s="1230"/>
      <c r="FS349" s="1230"/>
      <c r="FT349" s="1230"/>
      <c r="FU349" s="1230"/>
      <c r="FV349" s="1230"/>
      <c r="FW349" s="1230"/>
      <c r="FX349" s="1231"/>
      <c r="FY349" s="1231"/>
      <c r="FZ349" s="1152"/>
      <c r="GA349" s="1153"/>
    </row>
    <row r="350" spans="158:183" x14ac:dyDescent="0.35">
      <c r="FB350" s="1230"/>
      <c r="FC350" s="1230"/>
      <c r="FD350" s="1230"/>
      <c r="FE350" s="1230"/>
      <c r="FH350" s="1230"/>
      <c r="FI350" s="1230"/>
      <c r="FJ350" s="1230"/>
      <c r="FK350" s="1230"/>
      <c r="FL350" s="1230"/>
      <c r="FM350" s="1230"/>
      <c r="FN350" s="1230"/>
      <c r="FO350" s="1230"/>
      <c r="FP350" s="1230"/>
      <c r="FQ350" s="1230"/>
      <c r="FR350" s="1230"/>
      <c r="FS350" s="1230"/>
      <c r="FT350" s="1230"/>
      <c r="FU350" s="1230"/>
      <c r="FV350" s="1230"/>
      <c r="FW350" s="1230"/>
      <c r="FX350" s="1231"/>
      <c r="FY350" s="1231"/>
      <c r="FZ350" s="1152"/>
      <c r="GA350" s="1153"/>
    </row>
    <row r="351" spans="158:183" x14ac:dyDescent="0.35">
      <c r="FB351" s="1230"/>
      <c r="FC351" s="1230"/>
      <c r="FD351" s="1230"/>
      <c r="FE351" s="1230"/>
      <c r="FH351" s="1230"/>
      <c r="FI351" s="1230"/>
      <c r="FJ351" s="1230"/>
      <c r="FK351" s="1230"/>
      <c r="FL351" s="1230"/>
      <c r="FM351" s="1230"/>
      <c r="FN351" s="1230"/>
      <c r="FO351" s="1230"/>
      <c r="FP351" s="1230"/>
      <c r="FQ351" s="1230"/>
      <c r="FR351" s="1230"/>
      <c r="FS351" s="1230"/>
      <c r="FT351" s="1230"/>
      <c r="FU351" s="1230"/>
      <c r="FV351" s="1230"/>
      <c r="FW351" s="1230"/>
      <c r="FX351" s="1231"/>
      <c r="FY351" s="1231"/>
      <c r="FZ351" s="1152"/>
      <c r="GA351" s="1153"/>
    </row>
    <row r="352" spans="158:183" x14ac:dyDescent="0.35">
      <c r="FB352" s="1230"/>
      <c r="FC352" s="1230"/>
      <c r="FD352" s="1230"/>
      <c r="FE352" s="1230"/>
      <c r="FH352" s="1230"/>
      <c r="FI352" s="1230"/>
      <c r="FJ352" s="1230"/>
      <c r="FK352" s="1230"/>
      <c r="FL352" s="1230"/>
      <c r="FM352" s="1230"/>
      <c r="FN352" s="1230"/>
      <c r="FO352" s="1230"/>
      <c r="FP352" s="1230"/>
      <c r="FQ352" s="1230"/>
      <c r="FR352" s="1230"/>
      <c r="FS352" s="1230"/>
      <c r="FT352" s="1230"/>
      <c r="FU352" s="1230"/>
      <c r="FV352" s="1230"/>
      <c r="FW352" s="1230"/>
      <c r="FX352" s="1231"/>
      <c r="FY352" s="1231"/>
      <c r="FZ352" s="1152"/>
      <c r="GA352" s="1153"/>
    </row>
    <row r="353" spans="158:183" x14ac:dyDescent="0.35">
      <c r="FB353" s="1230"/>
      <c r="FC353" s="1230"/>
      <c r="FD353" s="1230"/>
      <c r="FE353" s="1230"/>
      <c r="FH353" s="1230"/>
      <c r="FI353" s="1230"/>
      <c r="FJ353" s="1230"/>
      <c r="FK353" s="1230"/>
      <c r="FL353" s="1230"/>
      <c r="FM353" s="1230"/>
      <c r="FN353" s="1230"/>
      <c r="FO353" s="1230"/>
      <c r="FP353" s="1230"/>
      <c r="FQ353" s="1230"/>
      <c r="FR353" s="1230"/>
      <c r="FS353" s="1230"/>
      <c r="FT353" s="1230"/>
      <c r="FU353" s="1230"/>
      <c r="FV353" s="1230"/>
      <c r="FW353" s="1230"/>
      <c r="FX353" s="1231"/>
      <c r="FY353" s="1231"/>
      <c r="FZ353" s="1152"/>
      <c r="GA353" s="1153"/>
    </row>
    <row r="354" spans="158:183" x14ac:dyDescent="0.35">
      <c r="FB354" s="1230"/>
      <c r="FC354" s="1230"/>
      <c r="FD354" s="1230"/>
      <c r="FE354" s="1230"/>
      <c r="FH354" s="1230"/>
      <c r="FI354" s="1230"/>
      <c r="FJ354" s="1230"/>
      <c r="FK354" s="1230"/>
      <c r="FL354" s="1230"/>
      <c r="FM354" s="1230"/>
      <c r="FN354" s="1230"/>
      <c r="FO354" s="1230"/>
      <c r="FP354" s="1230"/>
      <c r="FQ354" s="1230"/>
      <c r="FR354" s="1230"/>
      <c r="FS354" s="1230"/>
      <c r="FT354" s="1230"/>
      <c r="FU354" s="1230"/>
      <c r="FV354" s="1230"/>
      <c r="FW354" s="1230"/>
      <c r="FX354" s="1231"/>
      <c r="FY354" s="1231"/>
      <c r="FZ354" s="1152"/>
      <c r="GA354" s="1153"/>
    </row>
    <row r="355" spans="158:183" x14ac:dyDescent="0.35">
      <c r="FB355" s="1230"/>
      <c r="FC355" s="1230"/>
      <c r="FD355" s="1230"/>
      <c r="FE355" s="1230"/>
      <c r="FF355" s="1230"/>
      <c r="FG355" s="1230"/>
      <c r="FH355" s="1230"/>
      <c r="FI355" s="1230"/>
      <c r="FJ355" s="1230"/>
      <c r="FK355" s="1230"/>
      <c r="FL355" s="1230"/>
      <c r="FM355" s="1230"/>
      <c r="FN355" s="1230"/>
      <c r="FO355" s="1230"/>
      <c r="FP355" s="1230"/>
      <c r="FQ355" s="1230"/>
      <c r="FR355" s="1230"/>
      <c r="FS355" s="1230"/>
      <c r="FT355" s="1230"/>
      <c r="FU355" s="1230"/>
      <c r="FV355" s="1230"/>
      <c r="FW355" s="1230"/>
      <c r="FX355" s="1231"/>
      <c r="FY355" s="1231"/>
      <c r="FZ355" s="1152"/>
      <c r="GA355" s="1153"/>
    </row>
    <row r="356" spans="158:183" x14ac:dyDescent="0.35">
      <c r="FB356" s="1230"/>
      <c r="FC356" s="1230"/>
      <c r="FD356" s="1230"/>
      <c r="FE356" s="1230"/>
      <c r="FF356" s="1230"/>
      <c r="FG356" s="1230"/>
      <c r="FH356" s="1230"/>
      <c r="FI356" s="1230"/>
      <c r="FJ356" s="1230"/>
      <c r="FK356" s="1230"/>
      <c r="FL356" s="1230"/>
      <c r="FM356" s="1230"/>
      <c r="FN356" s="1230"/>
      <c r="FO356" s="1230"/>
      <c r="FP356" s="1230"/>
      <c r="FQ356" s="1230"/>
      <c r="FR356" s="1230"/>
      <c r="FS356" s="1230"/>
      <c r="FT356" s="1230"/>
      <c r="FU356" s="1230"/>
      <c r="FV356" s="1230"/>
      <c r="FW356" s="1230"/>
      <c r="FX356" s="1231"/>
      <c r="FY356" s="1231"/>
      <c r="FZ356" s="1152"/>
      <c r="GA356" s="1153"/>
    </row>
    <row r="357" spans="158:183" x14ac:dyDescent="0.35">
      <c r="FB357" s="1230"/>
      <c r="FC357" s="1230"/>
      <c r="FD357" s="1230"/>
      <c r="FE357" s="1230"/>
      <c r="FF357" s="1230"/>
      <c r="FG357" s="1230"/>
      <c r="FH357" s="1230"/>
      <c r="FI357" s="1230"/>
      <c r="FJ357" s="1230"/>
      <c r="FK357" s="1230"/>
      <c r="FL357" s="1230"/>
      <c r="FM357" s="1230"/>
      <c r="FN357" s="1230"/>
      <c r="FO357" s="1230"/>
      <c r="FP357" s="1230"/>
      <c r="FQ357" s="1230"/>
      <c r="FR357" s="1230"/>
      <c r="FS357" s="1230"/>
      <c r="FT357" s="1230"/>
      <c r="FU357" s="1230"/>
      <c r="FV357" s="1230"/>
      <c r="FW357" s="1230"/>
      <c r="FX357" s="1231"/>
      <c r="FY357" s="1231"/>
      <c r="FZ357" s="1152"/>
      <c r="GA357" s="1153"/>
    </row>
    <row r="358" spans="158:183" x14ac:dyDescent="0.35">
      <c r="FB358" s="1230"/>
      <c r="FC358" s="1230"/>
      <c r="FD358" s="1230"/>
      <c r="FE358" s="1230"/>
      <c r="FF358" s="1230"/>
      <c r="FG358" s="1230"/>
      <c r="FH358" s="1230"/>
      <c r="FI358" s="1230"/>
      <c r="FJ358" s="1230"/>
      <c r="FK358" s="1230"/>
      <c r="FL358" s="1230"/>
      <c r="FM358" s="1230"/>
      <c r="FN358" s="1230"/>
      <c r="FO358" s="1230"/>
      <c r="FP358" s="1230"/>
      <c r="FQ358" s="1230"/>
      <c r="FR358" s="1230"/>
      <c r="FS358" s="1230"/>
      <c r="FT358" s="1230"/>
      <c r="FU358" s="1230"/>
      <c r="FV358" s="1230"/>
      <c r="FW358" s="1230"/>
      <c r="FX358" s="1231"/>
      <c r="FY358" s="1231"/>
      <c r="FZ358" s="1152"/>
      <c r="GA358" s="1153"/>
    </row>
    <row r="359" spans="158:183" x14ac:dyDescent="0.35">
      <c r="FB359" s="1230"/>
      <c r="FC359" s="1230"/>
      <c r="FD359" s="1230"/>
      <c r="FF359" s="1230"/>
      <c r="FG359" s="1230"/>
      <c r="FH359" s="1230"/>
      <c r="FI359" s="1230"/>
      <c r="FJ359" s="1230"/>
      <c r="FK359" s="1230"/>
      <c r="FL359" s="1230"/>
      <c r="FM359" s="1230"/>
      <c r="FN359" s="1230"/>
      <c r="FO359" s="1230"/>
      <c r="FP359" s="1230"/>
      <c r="FQ359" s="1230"/>
      <c r="FR359" s="1230"/>
      <c r="FS359" s="1230"/>
      <c r="FT359" s="1230"/>
      <c r="FU359" s="1230"/>
      <c r="FV359" s="1230"/>
      <c r="FW359" s="1230"/>
      <c r="FX359" s="1231"/>
      <c r="FY359" s="1231"/>
      <c r="FZ359" s="1152"/>
      <c r="GA359" s="1153"/>
    </row>
    <row r="360" spans="158:183" x14ac:dyDescent="0.35">
      <c r="FB360" s="1230"/>
      <c r="FC360" s="1230"/>
      <c r="FD360" s="1230"/>
      <c r="FF360" s="1230"/>
      <c r="FG360" s="1230"/>
      <c r="FH360" s="1230"/>
      <c r="FI360" s="1230"/>
      <c r="FJ360" s="1230"/>
      <c r="FK360" s="1230"/>
      <c r="FL360" s="1230"/>
      <c r="FM360" s="1230"/>
      <c r="FN360" s="1230"/>
      <c r="FO360" s="1230"/>
      <c r="FP360" s="1230"/>
      <c r="FQ360" s="1230"/>
      <c r="FR360" s="1230"/>
      <c r="FS360" s="1230"/>
      <c r="FT360" s="1230"/>
      <c r="FU360" s="1230"/>
      <c r="FV360" s="1230"/>
      <c r="FW360" s="1230"/>
      <c r="FX360" s="1231"/>
      <c r="FY360" s="1231"/>
      <c r="FZ360" s="1152"/>
      <c r="GA360" s="1153"/>
    </row>
    <row r="361" spans="158:183" x14ac:dyDescent="0.35">
      <c r="FB361" s="1230"/>
      <c r="FC361" s="1230"/>
      <c r="FD361" s="1230"/>
      <c r="FF361" s="1230"/>
      <c r="FG361" s="1230"/>
      <c r="FH361" s="1230"/>
      <c r="FI361" s="1230"/>
      <c r="FJ361" s="1230"/>
      <c r="FK361" s="1230"/>
      <c r="FL361" s="1230"/>
      <c r="FM361" s="1230"/>
      <c r="FN361" s="1230"/>
      <c r="FO361" s="1230"/>
      <c r="FP361" s="1230"/>
      <c r="FQ361" s="1230"/>
      <c r="FR361" s="1230"/>
      <c r="FS361" s="1230"/>
      <c r="FT361" s="1230"/>
      <c r="FU361" s="1230"/>
      <c r="FV361" s="1230"/>
      <c r="FW361" s="1230"/>
      <c r="FX361" s="1231"/>
      <c r="FY361" s="1231"/>
      <c r="FZ361" s="1152"/>
      <c r="GA361" s="1153"/>
    </row>
    <row r="362" spans="158:183" x14ac:dyDescent="0.35">
      <c r="FB362" s="1230"/>
      <c r="FC362" s="1230"/>
      <c r="FD362" s="1230"/>
      <c r="FF362" s="1230"/>
      <c r="FG362" s="1230"/>
      <c r="FH362" s="1230"/>
      <c r="FI362" s="1230"/>
      <c r="FJ362" s="1230"/>
      <c r="FK362" s="1230"/>
      <c r="FL362" s="1230"/>
      <c r="FM362" s="1230"/>
      <c r="FN362" s="1230"/>
      <c r="FO362" s="1230"/>
      <c r="FP362" s="1230"/>
      <c r="FQ362" s="1230"/>
      <c r="FR362" s="1230"/>
      <c r="FS362" s="1230"/>
      <c r="FT362" s="1230"/>
      <c r="FU362" s="1230"/>
      <c r="FV362" s="1230"/>
      <c r="FW362" s="1230"/>
      <c r="FX362" s="1231"/>
      <c r="FY362" s="1231"/>
      <c r="FZ362" s="1152"/>
      <c r="GA362" s="1153"/>
    </row>
    <row r="363" spans="158:183" x14ac:dyDescent="0.35">
      <c r="FB363" s="1230"/>
      <c r="FC363" s="1230"/>
      <c r="FD363" s="1230"/>
      <c r="FF363" s="1230"/>
      <c r="FG363" s="1230"/>
      <c r="FH363" s="1230"/>
      <c r="FI363" s="1230"/>
      <c r="FJ363" s="1230"/>
      <c r="FK363" s="1230"/>
      <c r="FL363" s="1230"/>
      <c r="FM363" s="1230"/>
      <c r="FN363" s="1230"/>
      <c r="FO363" s="1230"/>
      <c r="FP363" s="1230"/>
      <c r="FQ363" s="1230"/>
      <c r="FR363" s="1230"/>
      <c r="FS363" s="1230"/>
      <c r="FT363" s="1230"/>
      <c r="FU363" s="1230"/>
      <c r="FV363" s="1230"/>
      <c r="FW363" s="1230"/>
      <c r="FX363" s="1231"/>
      <c r="FY363" s="1231"/>
      <c r="FZ363" s="1152"/>
      <c r="GA363" s="1153"/>
    </row>
    <row r="364" spans="158:183" x14ac:dyDescent="0.35">
      <c r="FB364" s="1230"/>
      <c r="FC364" s="1230"/>
      <c r="FD364" s="1230"/>
      <c r="FF364" s="1230"/>
      <c r="FG364" s="1230"/>
      <c r="FH364" s="1230"/>
      <c r="FI364" s="1230"/>
      <c r="FJ364" s="1230"/>
      <c r="FK364" s="1230"/>
      <c r="FL364" s="1230"/>
      <c r="FM364" s="1230"/>
      <c r="FN364" s="1230"/>
      <c r="FO364" s="1230"/>
      <c r="FP364" s="1230"/>
      <c r="FQ364" s="1230"/>
      <c r="FR364" s="1230"/>
      <c r="FS364" s="1230"/>
      <c r="FT364" s="1230"/>
      <c r="FU364" s="1230"/>
      <c r="FV364" s="1230"/>
      <c r="FW364" s="1230"/>
      <c r="FX364" s="1231"/>
      <c r="FY364" s="1231"/>
      <c r="FZ364" s="1152"/>
      <c r="GA364" s="1153"/>
    </row>
    <row r="365" spans="158:183" x14ac:dyDescent="0.35">
      <c r="FB365" s="1230"/>
      <c r="FC365" s="1230"/>
      <c r="FD365" s="1230"/>
      <c r="FF365" s="1230"/>
      <c r="FG365" s="1230"/>
      <c r="FH365" s="1230"/>
      <c r="FI365" s="1230"/>
      <c r="FJ365" s="1230"/>
      <c r="FK365" s="1230"/>
      <c r="FL365" s="1230"/>
      <c r="FM365" s="1230"/>
      <c r="FN365" s="1230"/>
      <c r="FO365" s="1230"/>
      <c r="FP365" s="1230"/>
      <c r="FQ365" s="1230"/>
      <c r="FR365" s="1230"/>
      <c r="FS365" s="1230"/>
      <c r="FT365" s="1230"/>
      <c r="FU365" s="1230"/>
      <c r="FV365" s="1230"/>
      <c r="FW365" s="1230"/>
      <c r="FX365" s="1231"/>
      <c r="FY365" s="1231"/>
      <c r="FZ365" s="1152"/>
      <c r="GA365" s="1153"/>
    </row>
    <row r="366" spans="158:183" x14ac:dyDescent="0.35">
      <c r="FB366" s="1230"/>
      <c r="FC366" s="1230"/>
      <c r="FD366" s="1230"/>
      <c r="FE366" s="1230"/>
      <c r="FF366" s="1230"/>
      <c r="FG366" s="1230"/>
      <c r="FH366" s="1230"/>
      <c r="FI366" s="1230"/>
      <c r="FJ366" s="1230"/>
      <c r="FK366" s="1230"/>
      <c r="FL366" s="1230"/>
      <c r="FM366" s="1230"/>
      <c r="FN366" s="1230"/>
      <c r="FO366" s="1230"/>
      <c r="FP366" s="1230"/>
      <c r="FQ366" s="1230"/>
      <c r="FR366" s="1230"/>
      <c r="FS366" s="1230"/>
      <c r="FT366" s="1230"/>
      <c r="FU366" s="1230"/>
      <c r="FV366" s="1230"/>
      <c r="FW366" s="1230"/>
      <c r="FX366" s="1231"/>
      <c r="FY366" s="1231"/>
      <c r="FZ366" s="1152"/>
      <c r="GA366" s="1153"/>
    </row>
    <row r="367" spans="158:183" x14ac:dyDescent="0.35">
      <c r="FB367" s="1230"/>
      <c r="FC367" s="1230"/>
      <c r="FD367" s="1230"/>
      <c r="FE367" s="1230"/>
      <c r="FF367" s="1230"/>
      <c r="FG367" s="1230"/>
      <c r="FH367" s="1230"/>
      <c r="FI367" s="1230"/>
      <c r="FJ367" s="1230"/>
      <c r="FK367" s="1230"/>
      <c r="FL367" s="1230"/>
      <c r="FM367" s="1230"/>
      <c r="FN367" s="1230"/>
      <c r="FO367" s="1230"/>
      <c r="FP367" s="1230"/>
      <c r="FQ367" s="1230"/>
      <c r="FR367" s="1230"/>
      <c r="FS367" s="1230"/>
      <c r="FT367" s="1230"/>
      <c r="FU367" s="1230"/>
      <c r="FV367" s="1230"/>
      <c r="FW367" s="1230"/>
      <c r="FX367" s="1231"/>
      <c r="FY367" s="1231"/>
      <c r="FZ367" s="1152"/>
      <c r="GA367" s="1153"/>
    </row>
    <row r="368" spans="158:183" x14ac:dyDescent="0.35">
      <c r="FB368" s="1230"/>
      <c r="FC368" s="1230"/>
      <c r="FD368" s="1230"/>
      <c r="FE368" s="1230"/>
      <c r="FF368" s="1230"/>
      <c r="FG368" s="1230"/>
      <c r="FH368" s="1230"/>
      <c r="FI368" s="1230"/>
      <c r="FJ368" s="1230"/>
      <c r="FK368" s="1230"/>
      <c r="FL368" s="1230"/>
      <c r="FM368" s="1230"/>
      <c r="FN368" s="1230"/>
      <c r="FO368" s="1230"/>
      <c r="FP368" s="1230"/>
      <c r="FQ368" s="1230"/>
      <c r="FR368" s="1230"/>
      <c r="FS368" s="1230"/>
      <c r="FT368" s="1230"/>
      <c r="FU368" s="1230"/>
      <c r="FV368" s="1230"/>
      <c r="FW368" s="1230"/>
      <c r="FX368" s="1231"/>
      <c r="FY368" s="1231"/>
      <c r="FZ368" s="1152"/>
      <c r="GA368" s="1153"/>
    </row>
    <row r="369" spans="158:183" x14ac:dyDescent="0.35">
      <c r="FB369" s="1230"/>
      <c r="FC369" s="1230"/>
      <c r="FD369" s="1230"/>
      <c r="FE369" s="1230"/>
      <c r="FF369" s="1230"/>
      <c r="FG369" s="1230"/>
      <c r="FH369" s="1230"/>
      <c r="FI369" s="1230"/>
      <c r="FJ369" s="1230"/>
      <c r="FK369" s="1230"/>
      <c r="FL369" s="1230"/>
      <c r="FM369" s="1230"/>
      <c r="FN369" s="1230"/>
      <c r="FO369" s="1230"/>
      <c r="FP369" s="1230"/>
      <c r="FQ369" s="1230"/>
      <c r="FR369" s="1230"/>
      <c r="FS369" s="1230"/>
      <c r="FT369" s="1230"/>
      <c r="FU369" s="1230"/>
      <c r="FV369" s="1230"/>
      <c r="FW369" s="1230"/>
      <c r="FX369" s="1231"/>
      <c r="FY369" s="1231"/>
      <c r="FZ369" s="1152"/>
      <c r="GA369" s="1153"/>
    </row>
    <row r="370" spans="158:183" x14ac:dyDescent="0.35">
      <c r="FB370" s="1230"/>
      <c r="FC370" s="1230"/>
      <c r="FD370" s="1230"/>
      <c r="FE370" s="1230"/>
      <c r="FF370" s="1230"/>
      <c r="FG370" s="1230"/>
      <c r="FH370" s="1230"/>
      <c r="FI370" s="1230"/>
      <c r="FJ370" s="1230"/>
      <c r="FK370" s="1230"/>
      <c r="FL370" s="1230"/>
      <c r="FM370" s="1230"/>
      <c r="FN370" s="1230"/>
      <c r="FO370" s="1230"/>
      <c r="FP370" s="1230"/>
      <c r="FQ370" s="1230"/>
      <c r="FR370" s="1230"/>
      <c r="FS370" s="1230"/>
      <c r="FT370" s="1230"/>
      <c r="FU370" s="1230"/>
      <c r="FV370" s="1230"/>
      <c r="FW370" s="1230"/>
      <c r="FX370" s="1231"/>
      <c r="FY370" s="1231"/>
      <c r="FZ370" s="1152"/>
      <c r="GA370" s="1153"/>
    </row>
    <row r="371" spans="158:183" x14ac:dyDescent="0.35">
      <c r="FB371" s="1230"/>
      <c r="FC371" s="1230"/>
      <c r="FD371" s="1230"/>
      <c r="FE371" s="1230"/>
      <c r="FF371" s="1230"/>
      <c r="FG371" s="1230"/>
      <c r="FH371" s="1230"/>
      <c r="FI371" s="1230"/>
      <c r="FJ371" s="1230"/>
      <c r="FK371" s="1230"/>
      <c r="FL371" s="1230"/>
      <c r="FM371" s="1230"/>
      <c r="FN371" s="1230"/>
      <c r="FO371" s="1230"/>
      <c r="FP371" s="1230"/>
      <c r="FQ371" s="1230"/>
      <c r="FR371" s="1230"/>
      <c r="FS371" s="1230"/>
      <c r="FT371" s="1230"/>
      <c r="FU371" s="1230"/>
      <c r="FV371" s="1230"/>
      <c r="FW371" s="1230"/>
      <c r="FX371" s="1231"/>
      <c r="FY371" s="1231"/>
      <c r="FZ371" s="1152"/>
      <c r="GA371" s="1153"/>
    </row>
    <row r="372" spans="158:183" x14ac:dyDescent="0.35">
      <c r="FB372" s="1230"/>
      <c r="FC372" s="1230"/>
      <c r="FD372" s="1230"/>
      <c r="FE372" s="1230"/>
      <c r="FF372" s="1230"/>
      <c r="FG372" s="1230"/>
      <c r="FH372" s="1230"/>
      <c r="FI372" s="1230"/>
      <c r="FJ372" s="1230"/>
      <c r="FK372" s="1230"/>
      <c r="FL372" s="1230"/>
      <c r="FM372" s="1230"/>
      <c r="FN372" s="1230"/>
      <c r="FO372" s="1230"/>
      <c r="FP372" s="1230"/>
      <c r="FQ372" s="1230"/>
      <c r="FR372" s="1230"/>
      <c r="FS372" s="1230"/>
      <c r="FT372" s="1230"/>
      <c r="FU372" s="1230"/>
      <c r="FV372" s="1230"/>
      <c r="FW372" s="1230"/>
      <c r="FX372" s="1231"/>
      <c r="FY372" s="1231"/>
      <c r="FZ372" s="1152"/>
      <c r="GA372" s="1153"/>
    </row>
    <row r="373" spans="158:183" x14ac:dyDescent="0.35">
      <c r="FB373" s="1230"/>
      <c r="FC373" s="1230"/>
      <c r="FD373" s="1230"/>
      <c r="FE373" s="1230"/>
      <c r="FF373" s="1230"/>
      <c r="FG373" s="1230"/>
      <c r="FH373" s="1230"/>
      <c r="FI373" s="1230"/>
      <c r="FJ373" s="1230"/>
      <c r="FK373" s="1230"/>
      <c r="FL373" s="1230"/>
      <c r="FM373" s="1230"/>
      <c r="FN373" s="1230"/>
      <c r="FO373" s="1230"/>
      <c r="FP373" s="1230"/>
      <c r="FQ373" s="1230"/>
      <c r="FR373" s="1230"/>
      <c r="FS373" s="1230"/>
      <c r="FT373" s="1230"/>
      <c r="FU373" s="1230"/>
      <c r="FV373" s="1230"/>
      <c r="FW373" s="1230"/>
      <c r="FX373" s="1231"/>
      <c r="FY373" s="1231"/>
      <c r="FZ373" s="1152"/>
      <c r="GA373" s="1153"/>
    </row>
    <row r="374" spans="158:183" x14ac:dyDescent="0.35">
      <c r="FB374" s="1230"/>
      <c r="FC374" s="1230"/>
      <c r="FD374" s="1230"/>
      <c r="FE374" s="1230"/>
      <c r="FF374" s="1230"/>
      <c r="FG374" s="1230"/>
      <c r="FH374" s="1230"/>
      <c r="FI374" s="1230"/>
      <c r="FJ374" s="1230"/>
      <c r="FK374" s="1230"/>
      <c r="FL374" s="1230"/>
      <c r="FM374" s="1230"/>
      <c r="FN374" s="1230"/>
      <c r="FO374" s="1230"/>
      <c r="FP374" s="1230"/>
      <c r="FQ374" s="1230"/>
      <c r="FR374" s="1230"/>
      <c r="FS374" s="1230"/>
      <c r="FT374" s="1230"/>
      <c r="FU374" s="1230"/>
      <c r="FV374" s="1230"/>
      <c r="FW374" s="1230"/>
      <c r="FX374" s="1231"/>
      <c r="FY374" s="1231"/>
      <c r="FZ374" s="1152"/>
      <c r="GA374" s="1153"/>
    </row>
    <row r="375" spans="158:183" x14ac:dyDescent="0.35">
      <c r="FB375" s="1230"/>
      <c r="FC375" s="1230"/>
      <c r="FD375" s="1230"/>
      <c r="FE375" s="1230"/>
      <c r="FF375" s="1230"/>
      <c r="FG375" s="1230"/>
      <c r="FH375" s="1230"/>
      <c r="FI375" s="1230"/>
      <c r="FJ375" s="1230"/>
      <c r="FK375" s="1230"/>
      <c r="FL375" s="1230"/>
      <c r="FM375" s="1230"/>
      <c r="FN375" s="1230"/>
      <c r="FO375" s="1230"/>
      <c r="FP375" s="1230"/>
      <c r="FQ375" s="1230"/>
      <c r="FR375" s="1230"/>
      <c r="FS375" s="1230"/>
      <c r="FT375" s="1230"/>
      <c r="FU375" s="1230"/>
      <c r="FV375" s="1230"/>
      <c r="FW375" s="1230"/>
      <c r="FX375" s="1231"/>
      <c r="FY375" s="1231"/>
      <c r="FZ375" s="1152"/>
      <c r="GA375" s="1153"/>
    </row>
    <row r="376" spans="158:183" x14ac:dyDescent="0.35">
      <c r="FB376" s="1230"/>
      <c r="FC376" s="1230"/>
      <c r="FD376" s="1230"/>
      <c r="FE376" s="1230"/>
      <c r="FF376" s="1230"/>
      <c r="FG376" s="1230"/>
      <c r="FH376" s="1230"/>
      <c r="FI376" s="1230"/>
      <c r="FJ376" s="1230"/>
      <c r="FK376" s="1230"/>
      <c r="FL376" s="1230"/>
      <c r="FM376" s="1230"/>
      <c r="FN376" s="1230"/>
      <c r="FO376" s="1230"/>
      <c r="FP376" s="1230"/>
      <c r="FQ376" s="1230"/>
      <c r="FR376" s="1230"/>
      <c r="FS376" s="1230"/>
      <c r="FT376" s="1230"/>
      <c r="FU376" s="1230"/>
      <c r="FV376" s="1230"/>
      <c r="FW376" s="1230"/>
      <c r="FX376" s="1231"/>
      <c r="FY376" s="1231"/>
      <c r="FZ376" s="1152"/>
      <c r="GA376" s="1153"/>
    </row>
    <row r="377" spans="158:183" x14ac:dyDescent="0.35">
      <c r="FB377" s="1230"/>
      <c r="FC377" s="1230"/>
      <c r="FD377" s="1230"/>
      <c r="FE377" s="1230"/>
      <c r="FF377" s="1230"/>
      <c r="FG377" s="1230"/>
      <c r="FH377" s="1230"/>
      <c r="FI377" s="1230"/>
      <c r="FJ377" s="1230"/>
      <c r="FK377" s="1230"/>
      <c r="FL377" s="1230"/>
      <c r="FM377" s="1230"/>
      <c r="FN377" s="1230"/>
      <c r="FO377" s="1230"/>
      <c r="FP377" s="1230"/>
      <c r="FQ377" s="1230"/>
      <c r="FR377" s="1230"/>
      <c r="FS377" s="1230"/>
      <c r="FT377" s="1230"/>
      <c r="FU377" s="1230"/>
      <c r="FV377" s="1230"/>
      <c r="FW377" s="1230"/>
      <c r="FX377" s="1231"/>
      <c r="FY377" s="1231"/>
      <c r="FZ377" s="1152"/>
      <c r="GA377" s="1153"/>
    </row>
    <row r="378" spans="158:183" x14ac:dyDescent="0.35">
      <c r="FB378" s="1230"/>
      <c r="FC378" s="1230"/>
      <c r="FD378" s="1230"/>
      <c r="FE378" s="1230"/>
      <c r="FF378" s="1230"/>
      <c r="FG378" s="1230"/>
      <c r="FH378" s="1230"/>
      <c r="FI378" s="1230"/>
      <c r="FJ378" s="1230"/>
      <c r="FK378" s="1230"/>
      <c r="FL378" s="1230"/>
      <c r="FM378" s="1230"/>
      <c r="FN378" s="1230"/>
      <c r="FO378" s="1230"/>
      <c r="FP378" s="1230"/>
      <c r="FQ378" s="1230"/>
      <c r="FR378" s="1230"/>
      <c r="FS378" s="1230"/>
      <c r="FT378" s="1230"/>
      <c r="FU378" s="1230"/>
      <c r="FV378" s="1230"/>
      <c r="FW378" s="1230"/>
      <c r="FX378" s="1231"/>
      <c r="FY378" s="1231"/>
      <c r="FZ378" s="1152"/>
      <c r="GA378" s="1153"/>
    </row>
    <row r="379" spans="158:183" x14ac:dyDescent="0.35">
      <c r="FB379" s="1230"/>
      <c r="FC379" s="1230"/>
      <c r="FD379" s="1230"/>
      <c r="FE379" s="1230"/>
      <c r="FF379" s="1230"/>
      <c r="FG379" s="1230"/>
      <c r="FH379" s="1230"/>
      <c r="FI379" s="1230"/>
      <c r="FJ379" s="1230"/>
      <c r="FK379" s="1230"/>
      <c r="FL379" s="1230"/>
      <c r="FM379" s="1230"/>
      <c r="FN379" s="1230"/>
      <c r="FO379" s="1230"/>
      <c r="FP379" s="1230"/>
      <c r="FQ379" s="1230"/>
      <c r="FR379" s="1230"/>
      <c r="FS379" s="1230"/>
      <c r="FT379" s="1230"/>
      <c r="FU379" s="1230"/>
      <c r="FV379" s="1230"/>
      <c r="FW379" s="1230"/>
      <c r="FX379" s="1231"/>
      <c r="FY379" s="1231"/>
      <c r="FZ379" s="1152"/>
      <c r="GA379" s="1153"/>
    </row>
    <row r="380" spans="158:183" x14ac:dyDescent="0.35">
      <c r="FB380" s="1230"/>
      <c r="FC380" s="1230"/>
      <c r="FD380" s="1230"/>
      <c r="FE380" s="1230"/>
      <c r="FF380" s="1230"/>
      <c r="FG380" s="1230"/>
      <c r="FH380" s="1230"/>
      <c r="FI380" s="1230"/>
      <c r="FJ380" s="1230"/>
      <c r="FK380" s="1230"/>
      <c r="FL380" s="1230"/>
      <c r="FM380" s="1230"/>
      <c r="FN380" s="1230"/>
      <c r="FO380" s="1230"/>
      <c r="FP380" s="1230"/>
      <c r="FQ380" s="1230"/>
      <c r="FR380" s="1230"/>
      <c r="FS380" s="1230"/>
      <c r="FT380" s="1230"/>
      <c r="FU380" s="1230"/>
      <c r="FV380" s="1230"/>
      <c r="FW380" s="1230"/>
      <c r="FX380" s="1231"/>
      <c r="FY380" s="1231"/>
      <c r="FZ380" s="1152"/>
      <c r="GA380" s="1153"/>
    </row>
    <row r="381" spans="158:183" x14ac:dyDescent="0.35">
      <c r="FB381" s="1230"/>
      <c r="FC381" s="1230"/>
      <c r="FD381" s="1230"/>
      <c r="FE381" s="1230"/>
      <c r="FF381" s="1230"/>
      <c r="FG381" s="1230"/>
      <c r="FH381" s="1230"/>
      <c r="FI381" s="1230"/>
      <c r="FJ381" s="1230"/>
      <c r="FK381" s="1230"/>
      <c r="FL381" s="1230"/>
      <c r="FM381" s="1230"/>
      <c r="FN381" s="1230"/>
      <c r="FO381" s="1230"/>
      <c r="FP381" s="1230"/>
      <c r="FQ381" s="1230"/>
      <c r="FR381" s="1230"/>
      <c r="FS381" s="1230"/>
      <c r="FT381" s="1230"/>
      <c r="FU381" s="1230"/>
      <c r="FV381" s="1230"/>
      <c r="FW381" s="1230"/>
      <c r="FX381" s="1231"/>
      <c r="FY381" s="1231"/>
      <c r="FZ381" s="1152"/>
      <c r="GA381" s="1153"/>
    </row>
    <row r="382" spans="158:183" x14ac:dyDescent="0.35">
      <c r="FB382" s="1230"/>
      <c r="FC382" s="1230"/>
      <c r="FD382" s="1230"/>
      <c r="FE382" s="1230"/>
      <c r="FF382" s="1230"/>
      <c r="FG382" s="1230"/>
      <c r="FH382" s="1230"/>
      <c r="FI382" s="1230"/>
      <c r="FJ382" s="1230"/>
      <c r="FK382" s="1230"/>
      <c r="FL382" s="1230"/>
      <c r="FM382" s="1230"/>
      <c r="FN382" s="1230"/>
      <c r="FO382" s="1230"/>
      <c r="FP382" s="1230"/>
      <c r="FQ382" s="1230"/>
      <c r="FR382" s="1230"/>
      <c r="FS382" s="1230"/>
      <c r="FT382" s="1230"/>
      <c r="FU382" s="1230"/>
      <c r="FV382" s="1230"/>
      <c r="FW382" s="1230"/>
      <c r="FX382" s="1231"/>
      <c r="FY382" s="1231"/>
      <c r="FZ382" s="1152"/>
      <c r="GA382" s="1153"/>
    </row>
    <row r="383" spans="158:183" x14ac:dyDescent="0.35">
      <c r="FB383" s="1230"/>
      <c r="FC383" s="1230"/>
      <c r="FD383" s="1230"/>
      <c r="FE383" s="1230"/>
      <c r="FF383" s="1230"/>
      <c r="FG383" s="1230"/>
      <c r="FH383" s="1230"/>
      <c r="FI383" s="1230"/>
      <c r="FJ383" s="1230"/>
      <c r="FK383" s="1230"/>
      <c r="FL383" s="1230"/>
      <c r="FM383" s="1230"/>
      <c r="FN383" s="1230"/>
      <c r="FO383" s="1230"/>
      <c r="FP383" s="1230"/>
      <c r="FQ383" s="1230"/>
      <c r="FR383" s="1230"/>
      <c r="FS383" s="1230"/>
      <c r="FT383" s="1230"/>
      <c r="FU383" s="1230"/>
      <c r="FV383" s="1230"/>
      <c r="FW383" s="1230"/>
      <c r="FX383" s="1231"/>
      <c r="FY383" s="1231"/>
      <c r="FZ383" s="1152"/>
      <c r="GA383" s="1153"/>
    </row>
    <row r="384" spans="158:183" x14ac:dyDescent="0.35">
      <c r="FB384" s="1230"/>
      <c r="FC384" s="1230"/>
      <c r="FD384" s="1230"/>
      <c r="FE384" s="1230"/>
      <c r="FF384" s="1230"/>
      <c r="FG384" s="1230"/>
      <c r="FH384" s="1230"/>
      <c r="FI384" s="1230"/>
      <c r="FJ384" s="1230"/>
      <c r="FK384" s="1230"/>
      <c r="FL384" s="1230"/>
      <c r="FM384" s="1230"/>
      <c r="FN384" s="1230"/>
      <c r="FO384" s="1230"/>
      <c r="FP384" s="1230"/>
      <c r="FQ384" s="1230"/>
      <c r="FR384" s="1230"/>
      <c r="FS384" s="1230"/>
      <c r="FT384" s="1230"/>
      <c r="FU384" s="1230"/>
      <c r="FV384" s="1230"/>
      <c r="FW384" s="1230"/>
      <c r="FX384" s="1231"/>
      <c r="FY384" s="1231"/>
      <c r="FZ384" s="1152"/>
      <c r="GA384" s="1153"/>
    </row>
    <row r="385" spans="158:183" x14ac:dyDescent="0.35">
      <c r="FB385" s="1230"/>
      <c r="FC385" s="1230"/>
      <c r="FD385" s="1230"/>
      <c r="FE385" s="1230"/>
      <c r="FF385" s="1230"/>
      <c r="FG385" s="1230"/>
      <c r="FH385" s="1230"/>
      <c r="FI385" s="1230"/>
      <c r="FJ385" s="1230"/>
      <c r="FK385" s="1230"/>
      <c r="FL385" s="1230"/>
      <c r="FM385" s="1230"/>
      <c r="FN385" s="1230"/>
      <c r="FO385" s="1230"/>
      <c r="FP385" s="1230"/>
      <c r="FQ385" s="1230"/>
      <c r="FR385" s="1230"/>
      <c r="FS385" s="1230"/>
      <c r="FT385" s="1230"/>
      <c r="FU385" s="1230"/>
      <c r="FV385" s="1230"/>
      <c r="FW385" s="1230"/>
      <c r="FX385" s="1231"/>
      <c r="FY385" s="1231"/>
      <c r="FZ385" s="1152"/>
      <c r="GA385" s="1153"/>
    </row>
    <row r="386" spans="158:183" x14ac:dyDescent="0.35">
      <c r="FB386" s="1230"/>
      <c r="FC386" s="1230"/>
      <c r="FD386" s="1230"/>
      <c r="FE386" s="1230"/>
      <c r="FF386" s="1230"/>
      <c r="FG386" s="1230"/>
      <c r="FH386" s="1230"/>
      <c r="FI386" s="1230"/>
      <c r="FJ386" s="1230"/>
      <c r="FK386" s="1230"/>
      <c r="FL386" s="1230"/>
      <c r="FM386" s="1230"/>
      <c r="FN386" s="1230"/>
      <c r="FO386" s="1230"/>
      <c r="FP386" s="1230"/>
      <c r="FQ386" s="1230"/>
      <c r="FR386" s="1230"/>
      <c r="FS386" s="1230"/>
      <c r="FT386" s="1230"/>
      <c r="FU386" s="1230"/>
      <c r="FV386" s="1230"/>
      <c r="FW386" s="1230"/>
      <c r="FX386" s="1231"/>
      <c r="FY386" s="1231"/>
      <c r="FZ386" s="1152"/>
      <c r="GA386" s="1153"/>
    </row>
    <row r="387" spans="158:183" x14ac:dyDescent="0.35">
      <c r="FB387" s="1230"/>
      <c r="FC387" s="1230"/>
      <c r="FD387" s="1230"/>
      <c r="FE387" s="1230"/>
      <c r="FF387" s="1230"/>
      <c r="FG387" s="1230"/>
      <c r="FH387" s="1230"/>
      <c r="FI387" s="1230"/>
      <c r="FJ387" s="1230"/>
      <c r="FK387" s="1230"/>
      <c r="FL387" s="1230"/>
      <c r="FM387" s="1230"/>
      <c r="FN387" s="1230"/>
      <c r="FO387" s="1230"/>
      <c r="FP387" s="1230"/>
      <c r="FQ387" s="1230"/>
      <c r="FR387" s="1230"/>
      <c r="FS387" s="1230"/>
      <c r="FT387" s="1230"/>
      <c r="FU387" s="1230"/>
      <c r="FV387" s="1230"/>
      <c r="FW387" s="1230"/>
      <c r="FX387" s="1231"/>
      <c r="FY387" s="1231"/>
      <c r="FZ387" s="1152"/>
      <c r="GA387" s="1153"/>
    </row>
    <row r="388" spans="158:183" x14ac:dyDescent="0.35">
      <c r="FB388" s="1230"/>
      <c r="FC388" s="1230"/>
      <c r="FD388" s="1230"/>
      <c r="FE388" s="1230"/>
      <c r="FF388" s="1230"/>
      <c r="FG388" s="1230"/>
      <c r="FH388" s="1230"/>
      <c r="FI388" s="1230"/>
      <c r="FJ388" s="1230"/>
      <c r="FK388" s="1230"/>
      <c r="FL388" s="1230"/>
      <c r="FM388" s="1230"/>
      <c r="FN388" s="1230"/>
      <c r="FO388" s="1230"/>
      <c r="FP388" s="1230"/>
      <c r="FQ388" s="1230"/>
      <c r="FR388" s="1230"/>
      <c r="FS388" s="1230"/>
      <c r="FT388" s="1230"/>
      <c r="FU388" s="1230"/>
      <c r="FV388" s="1230"/>
      <c r="FW388" s="1230"/>
      <c r="FX388" s="1231"/>
      <c r="FY388" s="1231"/>
      <c r="FZ388" s="1152"/>
      <c r="GA388" s="1153"/>
    </row>
    <row r="389" spans="158:183" x14ac:dyDescent="0.35">
      <c r="FB389" s="1230"/>
      <c r="FC389" s="1230"/>
      <c r="FD389" s="1230"/>
      <c r="FE389" s="1230"/>
      <c r="FF389" s="1230"/>
      <c r="FG389" s="1230"/>
      <c r="FH389" s="1230"/>
      <c r="FI389" s="1230"/>
      <c r="FJ389" s="1230"/>
      <c r="FK389" s="1230"/>
      <c r="FL389" s="1230"/>
      <c r="FM389" s="1230"/>
      <c r="FN389" s="1230"/>
      <c r="FO389" s="1230"/>
      <c r="FP389" s="1230"/>
      <c r="FQ389" s="1230"/>
      <c r="FR389" s="1230"/>
      <c r="FS389" s="1230"/>
      <c r="FT389" s="1230"/>
      <c r="FU389" s="1230"/>
      <c r="FV389" s="1230"/>
      <c r="FW389" s="1230"/>
      <c r="FX389" s="1231"/>
      <c r="FY389" s="1231"/>
      <c r="FZ389" s="1152"/>
      <c r="GA389" s="1153"/>
    </row>
    <row r="390" spans="158:183" x14ac:dyDescent="0.35">
      <c r="FB390" s="1230"/>
      <c r="FC390" s="1230"/>
      <c r="FD390" s="1230"/>
      <c r="FE390" s="1230"/>
      <c r="FF390" s="1230"/>
      <c r="FG390" s="1230"/>
      <c r="FH390" s="1230"/>
      <c r="FI390" s="1230"/>
      <c r="FJ390" s="1230"/>
      <c r="FK390" s="1230"/>
      <c r="FL390" s="1230"/>
      <c r="FM390" s="1230"/>
      <c r="FN390" s="1230"/>
      <c r="FO390" s="1230"/>
      <c r="FP390" s="1230"/>
      <c r="FQ390" s="1230"/>
      <c r="FR390" s="1230"/>
      <c r="FS390" s="1230"/>
      <c r="FT390" s="1230"/>
      <c r="FU390" s="1230"/>
      <c r="FV390" s="1230"/>
      <c r="FW390" s="1230"/>
      <c r="FX390" s="1231"/>
      <c r="FY390" s="1231"/>
      <c r="FZ390" s="1152"/>
      <c r="GA390" s="1153"/>
    </row>
    <row r="391" spans="158:183" x14ac:dyDescent="0.35">
      <c r="FB391" s="1230"/>
      <c r="FC391" s="1230"/>
      <c r="FD391" s="1230"/>
      <c r="FE391" s="1230"/>
      <c r="FF391" s="1230"/>
      <c r="FG391" s="1230"/>
      <c r="FH391" s="1230"/>
      <c r="FI391" s="1230"/>
      <c r="FJ391" s="1230"/>
      <c r="FK391" s="1230"/>
      <c r="FL391" s="1230"/>
      <c r="FM391" s="1230"/>
      <c r="FN391" s="1230"/>
      <c r="FO391" s="1230"/>
      <c r="FP391" s="1230"/>
      <c r="FQ391" s="1230"/>
      <c r="FR391" s="1230"/>
      <c r="FS391" s="1230"/>
      <c r="FT391" s="1230"/>
      <c r="FU391" s="1230"/>
      <c r="FV391" s="1230"/>
      <c r="FW391" s="1230"/>
      <c r="FX391" s="1231"/>
      <c r="FY391" s="1231"/>
      <c r="FZ391" s="1152"/>
      <c r="GA391" s="1153"/>
    </row>
    <row r="392" spans="158:183" x14ac:dyDescent="0.35">
      <c r="FB392" s="1230"/>
      <c r="FC392" s="1230"/>
      <c r="FD392" s="1230"/>
      <c r="FE392" s="1230"/>
      <c r="FF392" s="1230"/>
      <c r="FG392" s="1230"/>
      <c r="FH392" s="1230"/>
      <c r="FI392" s="1230"/>
      <c r="FJ392" s="1230"/>
      <c r="FK392" s="1230"/>
      <c r="FL392" s="1230"/>
      <c r="FM392" s="1230"/>
      <c r="FN392" s="1230"/>
      <c r="FO392" s="1230"/>
      <c r="FP392" s="1230"/>
      <c r="FQ392" s="1230"/>
      <c r="FR392" s="1230"/>
      <c r="FS392" s="1230"/>
      <c r="FT392" s="1230"/>
      <c r="FU392" s="1230"/>
      <c r="FV392" s="1230"/>
      <c r="FW392" s="1230"/>
      <c r="FX392" s="1231"/>
      <c r="FY392" s="1231"/>
      <c r="FZ392" s="1152"/>
      <c r="GA392" s="1153"/>
    </row>
    <row r="393" spans="158:183" x14ac:dyDescent="0.35">
      <c r="FB393" s="1230"/>
      <c r="FC393" s="1230"/>
      <c r="FD393" s="1230"/>
      <c r="FE393" s="1230"/>
      <c r="FF393" s="1230"/>
      <c r="FG393" s="1230"/>
      <c r="FH393" s="1230"/>
      <c r="FI393" s="1230"/>
      <c r="FJ393" s="1230"/>
      <c r="FK393" s="1230"/>
      <c r="FL393" s="1230"/>
      <c r="FM393" s="1230"/>
      <c r="FN393" s="1230"/>
      <c r="FO393" s="1230"/>
      <c r="FP393" s="1230"/>
      <c r="FQ393" s="1230"/>
      <c r="FR393" s="1230"/>
      <c r="FS393" s="1230"/>
      <c r="FT393" s="1230"/>
      <c r="FU393" s="1230"/>
      <c r="FV393" s="1230"/>
      <c r="FW393" s="1230"/>
      <c r="FX393" s="1231"/>
      <c r="FY393" s="1231"/>
      <c r="FZ393" s="1152"/>
      <c r="GA393" s="1153"/>
    </row>
    <row r="394" spans="158:183" x14ac:dyDescent="0.35">
      <c r="FB394" s="1230"/>
      <c r="FC394" s="1230"/>
      <c r="FD394" s="1230"/>
      <c r="FE394" s="1230"/>
      <c r="FF394" s="1230"/>
      <c r="FG394" s="1230"/>
      <c r="FH394" s="1230"/>
      <c r="FI394" s="1230"/>
      <c r="FJ394" s="1230"/>
      <c r="FK394" s="1230"/>
      <c r="FL394" s="1230"/>
      <c r="FM394" s="1230"/>
      <c r="FN394" s="1230"/>
      <c r="FO394" s="1230"/>
      <c r="FP394" s="1230"/>
      <c r="FQ394" s="1230"/>
      <c r="FR394" s="1230"/>
      <c r="FS394" s="1230"/>
      <c r="FT394" s="1230"/>
      <c r="FU394" s="1230"/>
      <c r="FV394" s="1230"/>
      <c r="FW394" s="1230"/>
      <c r="FX394" s="1231"/>
      <c r="FY394" s="1231"/>
      <c r="FZ394" s="1152"/>
      <c r="GA394" s="1153"/>
    </row>
    <row r="395" spans="158:183" x14ac:dyDescent="0.35">
      <c r="FB395" s="1230"/>
      <c r="FC395" s="1230"/>
      <c r="FD395" s="1230"/>
      <c r="FE395" s="1230"/>
      <c r="FF395" s="1230"/>
      <c r="FG395" s="1230"/>
      <c r="FH395" s="1230"/>
      <c r="FI395" s="1230"/>
      <c r="FJ395" s="1230"/>
      <c r="FK395" s="1230"/>
      <c r="FL395" s="1230"/>
      <c r="FM395" s="1230"/>
      <c r="FN395" s="1230"/>
      <c r="FO395" s="1230"/>
      <c r="FP395" s="1230"/>
      <c r="FQ395" s="1230"/>
      <c r="FR395" s="1230"/>
      <c r="FS395" s="1230"/>
      <c r="FT395" s="1230"/>
      <c r="FU395" s="1230"/>
      <c r="FV395" s="1230"/>
      <c r="FW395" s="1230"/>
      <c r="FX395" s="1231"/>
      <c r="FY395" s="1231"/>
      <c r="FZ395" s="1152"/>
      <c r="GA395" s="1153"/>
    </row>
    <row r="396" spans="158:183" x14ac:dyDescent="0.35">
      <c r="FB396" s="1230"/>
      <c r="FC396" s="1230"/>
      <c r="FD396" s="1230"/>
      <c r="FE396" s="1230"/>
      <c r="FF396" s="1230"/>
      <c r="FG396" s="1230"/>
      <c r="FH396" s="1230"/>
      <c r="FI396" s="1230"/>
      <c r="FJ396" s="1230"/>
      <c r="FK396" s="1230"/>
      <c r="FL396" s="1230"/>
      <c r="FM396" s="1230"/>
      <c r="FN396" s="1230"/>
      <c r="FO396" s="1230"/>
      <c r="FP396" s="1230"/>
      <c r="FQ396" s="1230"/>
      <c r="FR396" s="1230"/>
      <c r="FS396" s="1230"/>
      <c r="FT396" s="1230"/>
      <c r="FU396" s="1230"/>
      <c r="FV396" s="1230"/>
      <c r="FW396" s="1230"/>
      <c r="FX396" s="1231"/>
      <c r="FY396" s="1231"/>
      <c r="FZ396" s="1152"/>
      <c r="GA396" s="1153"/>
    </row>
    <row r="397" spans="158:183" x14ac:dyDescent="0.35">
      <c r="FB397" s="1230"/>
      <c r="FC397" s="1230"/>
      <c r="FD397" s="1230"/>
      <c r="FE397" s="1230"/>
      <c r="FF397" s="1230"/>
      <c r="FG397" s="1230"/>
      <c r="FH397" s="1230"/>
      <c r="FI397" s="1230"/>
      <c r="FJ397" s="1230"/>
      <c r="FK397" s="1230"/>
      <c r="FL397" s="1230"/>
      <c r="FM397" s="1230"/>
      <c r="FN397" s="1230"/>
      <c r="FO397" s="1230"/>
      <c r="FP397" s="1230"/>
      <c r="FQ397" s="1230"/>
      <c r="FR397" s="1230"/>
      <c r="FS397" s="1230"/>
      <c r="FT397" s="1230"/>
      <c r="FU397" s="1230"/>
      <c r="FV397" s="1230"/>
      <c r="FW397" s="1230"/>
      <c r="FX397" s="1231"/>
      <c r="FY397" s="1231"/>
      <c r="FZ397" s="1152"/>
      <c r="GA397" s="1153"/>
    </row>
    <row r="398" spans="158:183" x14ac:dyDescent="0.35">
      <c r="FB398" s="1230"/>
      <c r="FC398" s="1230"/>
      <c r="FD398" s="1230"/>
      <c r="FE398" s="1230"/>
      <c r="FF398" s="1230"/>
      <c r="FG398" s="1230"/>
      <c r="FH398" s="1230"/>
      <c r="FI398" s="1230"/>
      <c r="FJ398" s="1230"/>
      <c r="FK398" s="1230"/>
      <c r="FL398" s="1230"/>
      <c r="FM398" s="1230"/>
      <c r="FN398" s="1230"/>
      <c r="FO398" s="1230"/>
      <c r="FP398" s="1230"/>
      <c r="FQ398" s="1230"/>
      <c r="FR398" s="1230"/>
      <c r="FS398" s="1230"/>
      <c r="FT398" s="1230"/>
      <c r="FU398" s="1230"/>
      <c r="FV398" s="1230"/>
      <c r="FW398" s="1230"/>
      <c r="FX398" s="1231"/>
      <c r="FY398" s="1231"/>
      <c r="FZ398" s="1152"/>
      <c r="GA398" s="1153"/>
    </row>
    <row r="399" spans="158:183" x14ac:dyDescent="0.35">
      <c r="FB399" s="1230"/>
      <c r="FC399" s="1230"/>
      <c r="FD399" s="1230"/>
      <c r="FE399" s="1230"/>
      <c r="FF399" s="1230"/>
      <c r="FG399" s="1230"/>
      <c r="FH399" s="1230"/>
      <c r="FI399" s="1230"/>
      <c r="FJ399" s="1230"/>
      <c r="FK399" s="1230"/>
      <c r="FL399" s="1230"/>
      <c r="FM399" s="1230"/>
      <c r="FN399" s="1230"/>
      <c r="FO399" s="1230"/>
      <c r="FP399" s="1230"/>
      <c r="FQ399" s="1230"/>
      <c r="FR399" s="1230"/>
      <c r="FS399" s="1230"/>
      <c r="FT399" s="1230"/>
      <c r="FU399" s="1230"/>
      <c r="FV399" s="1230"/>
      <c r="FW399" s="1230"/>
      <c r="FX399" s="1231"/>
      <c r="FY399" s="1231"/>
      <c r="FZ399" s="1152"/>
      <c r="GA399" s="1153"/>
    </row>
    <row r="400" spans="158:183" x14ac:dyDescent="0.35">
      <c r="FB400" s="1230"/>
      <c r="FC400" s="1230"/>
      <c r="FD400" s="1230"/>
      <c r="FE400" s="1230"/>
      <c r="FF400" s="1230"/>
      <c r="FG400" s="1230"/>
      <c r="FH400" s="1230"/>
      <c r="FI400" s="1230"/>
      <c r="FJ400" s="1230"/>
      <c r="FK400" s="1230"/>
      <c r="FL400" s="1230"/>
      <c r="FM400" s="1230"/>
      <c r="FN400" s="1230"/>
      <c r="FO400" s="1230"/>
      <c r="FP400" s="1230"/>
      <c r="FQ400" s="1230"/>
      <c r="FR400" s="1230"/>
      <c r="FS400" s="1230"/>
      <c r="FT400" s="1230"/>
      <c r="FU400" s="1230"/>
      <c r="FV400" s="1230"/>
      <c r="FW400" s="1230"/>
      <c r="FX400" s="1231"/>
      <c r="FY400" s="1231"/>
      <c r="FZ400" s="1152"/>
      <c r="GA400" s="1153"/>
    </row>
    <row r="401" spans="158:183" x14ac:dyDescent="0.35">
      <c r="FB401" s="1230"/>
      <c r="FC401" s="1230"/>
      <c r="FD401" s="1230"/>
      <c r="FE401" s="1230"/>
      <c r="FF401" s="1230"/>
      <c r="FG401" s="1230"/>
      <c r="FH401" s="1230"/>
      <c r="FI401" s="1230"/>
      <c r="FJ401" s="1230"/>
      <c r="FK401" s="1230"/>
      <c r="FL401" s="1230"/>
      <c r="FM401" s="1230"/>
      <c r="FN401" s="1230"/>
      <c r="FO401" s="1230"/>
      <c r="FP401" s="1230"/>
      <c r="FQ401" s="1230"/>
      <c r="FR401" s="1230"/>
      <c r="FS401" s="1230"/>
      <c r="FT401" s="1230"/>
      <c r="FU401" s="1230"/>
      <c r="FV401" s="1230"/>
      <c r="FW401" s="1230"/>
      <c r="FX401" s="1231"/>
      <c r="FY401" s="1231"/>
      <c r="FZ401" s="1152"/>
      <c r="GA401" s="1153"/>
    </row>
    <row r="402" spans="158:183" x14ac:dyDescent="0.35">
      <c r="FB402" s="1230"/>
      <c r="FC402" s="1230"/>
      <c r="FD402" s="1230"/>
      <c r="FE402" s="1230"/>
      <c r="FF402" s="1230"/>
      <c r="FG402" s="1230"/>
      <c r="FH402" s="1230"/>
      <c r="FI402" s="1230"/>
      <c r="FJ402" s="1230"/>
      <c r="FK402" s="1230"/>
      <c r="FL402" s="1230"/>
      <c r="FM402" s="1230"/>
      <c r="FN402" s="1230"/>
      <c r="FO402" s="1230"/>
      <c r="FP402" s="1230"/>
      <c r="FQ402" s="1230"/>
      <c r="FR402" s="1230"/>
      <c r="FS402" s="1230"/>
      <c r="FT402" s="1230"/>
      <c r="FU402" s="1230"/>
      <c r="FV402" s="1230"/>
      <c r="FW402" s="1230"/>
      <c r="FX402" s="1231"/>
      <c r="FY402" s="1231"/>
      <c r="FZ402" s="1152"/>
      <c r="GA402" s="1153"/>
    </row>
    <row r="403" spans="158:183" x14ac:dyDescent="0.35">
      <c r="FB403" s="1230"/>
      <c r="FC403" s="1230"/>
      <c r="FD403" s="1230"/>
      <c r="FE403" s="1230"/>
      <c r="FF403" s="1230"/>
      <c r="FG403" s="1230"/>
      <c r="FH403" s="1230"/>
      <c r="FI403" s="1230"/>
      <c r="FJ403" s="1230"/>
      <c r="FK403" s="1230"/>
      <c r="FL403" s="1230"/>
      <c r="FM403" s="1230"/>
      <c r="FN403" s="1230"/>
      <c r="FO403" s="1230"/>
      <c r="FP403" s="1230"/>
      <c r="FQ403" s="1230"/>
      <c r="FR403" s="1230"/>
      <c r="FS403" s="1230"/>
      <c r="FT403" s="1230"/>
      <c r="FU403" s="1230"/>
      <c r="FV403" s="1230"/>
      <c r="FW403" s="1230"/>
      <c r="FX403" s="1231"/>
      <c r="FY403" s="1231"/>
      <c r="FZ403" s="1152"/>
      <c r="GA403" s="1153"/>
    </row>
    <row r="404" spans="158:183" x14ac:dyDescent="0.35">
      <c r="FB404" s="1230"/>
      <c r="FC404" s="1230"/>
      <c r="FD404" s="1230"/>
      <c r="FE404" s="1230"/>
      <c r="FF404" s="1230"/>
      <c r="FG404" s="1230"/>
      <c r="FH404" s="1230"/>
      <c r="FI404" s="1230"/>
      <c r="FJ404" s="1230"/>
      <c r="FK404" s="1230"/>
      <c r="FL404" s="1230"/>
      <c r="FM404" s="1230"/>
      <c r="FN404" s="1230"/>
      <c r="FO404" s="1230"/>
      <c r="FP404" s="1230"/>
      <c r="FQ404" s="1230"/>
      <c r="FR404" s="1230"/>
      <c r="FS404" s="1230"/>
      <c r="FT404" s="1230"/>
      <c r="FU404" s="1230"/>
      <c r="FV404" s="1230"/>
      <c r="FW404" s="1230"/>
      <c r="FX404" s="1231"/>
      <c r="FY404" s="1231"/>
      <c r="FZ404" s="1152"/>
      <c r="GA404" s="1153"/>
    </row>
    <row r="405" spans="158:183" x14ac:dyDescent="0.35">
      <c r="FB405" s="1230"/>
      <c r="FC405" s="1230"/>
      <c r="FD405" s="1230"/>
      <c r="FE405" s="1230"/>
      <c r="FF405" s="1230"/>
      <c r="FG405" s="1230"/>
      <c r="FH405" s="1230"/>
      <c r="FI405" s="1230"/>
      <c r="FJ405" s="1230"/>
      <c r="FK405" s="1230"/>
      <c r="FL405" s="1230"/>
      <c r="FM405" s="1230"/>
      <c r="FN405" s="1230"/>
      <c r="FO405" s="1230"/>
      <c r="FP405" s="1230"/>
      <c r="FQ405" s="1230"/>
      <c r="FR405" s="1230"/>
      <c r="FS405" s="1230"/>
      <c r="FT405" s="1230"/>
      <c r="FU405" s="1230"/>
      <c r="FV405" s="1230"/>
      <c r="FW405" s="1230"/>
      <c r="FX405" s="1231"/>
      <c r="FY405" s="1231"/>
      <c r="FZ405" s="1152"/>
      <c r="GA405" s="1153"/>
    </row>
    <row r="406" spans="158:183" x14ac:dyDescent="0.35">
      <c r="FB406" s="1230"/>
      <c r="FC406" s="1230"/>
      <c r="FD406" s="1230"/>
      <c r="FE406" s="1230"/>
      <c r="FF406" s="1230"/>
      <c r="FG406" s="1230"/>
      <c r="FH406" s="1230"/>
      <c r="FI406" s="1230"/>
      <c r="FJ406" s="1230"/>
      <c r="FK406" s="1230"/>
      <c r="FL406" s="1230"/>
      <c r="FM406" s="1230"/>
      <c r="FN406" s="1230"/>
      <c r="FO406" s="1230"/>
      <c r="FP406" s="1230"/>
      <c r="FQ406" s="1230"/>
      <c r="FR406" s="1230"/>
      <c r="FS406" s="1230"/>
      <c r="FT406" s="1230"/>
      <c r="FU406" s="1230"/>
      <c r="FV406" s="1230"/>
      <c r="FW406" s="1230"/>
      <c r="FX406" s="1231"/>
      <c r="FY406" s="1231"/>
      <c r="FZ406" s="1152"/>
      <c r="GA406" s="1153"/>
    </row>
    <row r="407" spans="158:183" x14ac:dyDescent="0.35">
      <c r="FB407" s="1230"/>
      <c r="FC407" s="1230"/>
      <c r="FD407" s="1230"/>
      <c r="FE407" s="1230"/>
      <c r="FF407" s="1230"/>
      <c r="FG407" s="1230"/>
      <c r="FH407" s="1230"/>
      <c r="FI407" s="1230"/>
      <c r="FJ407" s="1230"/>
      <c r="FK407" s="1230"/>
      <c r="FL407" s="1230"/>
      <c r="FM407" s="1230"/>
      <c r="FN407" s="1230"/>
      <c r="FO407" s="1230"/>
      <c r="FP407" s="1230"/>
      <c r="FQ407" s="1230"/>
      <c r="FR407" s="1230"/>
      <c r="FS407" s="1230"/>
      <c r="FT407" s="1230"/>
      <c r="FU407" s="1230"/>
      <c r="FV407" s="1230"/>
      <c r="FW407" s="1230"/>
      <c r="FX407" s="1231"/>
      <c r="FY407" s="1231"/>
      <c r="FZ407" s="1152"/>
      <c r="GA407" s="1153"/>
    </row>
    <row r="408" spans="158:183" x14ac:dyDescent="0.35">
      <c r="FB408" s="1230"/>
      <c r="FC408" s="1230"/>
      <c r="FD408" s="1230"/>
      <c r="FE408" s="1230"/>
      <c r="FF408" s="1230"/>
      <c r="FG408" s="1230"/>
      <c r="FH408" s="1230"/>
      <c r="FI408" s="1230"/>
      <c r="FJ408" s="1230"/>
      <c r="FK408" s="1230"/>
      <c r="FL408" s="1230"/>
      <c r="FM408" s="1230"/>
      <c r="FN408" s="1230"/>
      <c r="FO408" s="1230"/>
      <c r="FP408" s="1230"/>
      <c r="FQ408" s="1230"/>
      <c r="FR408" s="1230"/>
      <c r="FS408" s="1230"/>
      <c r="FT408" s="1230"/>
      <c r="FU408" s="1230"/>
      <c r="FV408" s="1230"/>
      <c r="FW408" s="1230"/>
      <c r="FX408" s="1231"/>
      <c r="FY408" s="1231"/>
      <c r="FZ408" s="1152"/>
      <c r="GA408" s="1153"/>
    </row>
    <row r="409" spans="158:183" x14ac:dyDescent="0.35">
      <c r="FB409" s="1230"/>
      <c r="FC409" s="1230"/>
      <c r="FD409" s="1230"/>
      <c r="FE409" s="1230"/>
      <c r="FF409" s="1230"/>
      <c r="FG409" s="1230"/>
      <c r="FH409" s="1230"/>
      <c r="FI409" s="1230"/>
      <c r="FJ409" s="1230"/>
      <c r="FK409" s="1230"/>
      <c r="FL409" s="1230"/>
      <c r="FM409" s="1230"/>
      <c r="FN409" s="1230"/>
      <c r="FO409" s="1230"/>
      <c r="FP409" s="1230"/>
      <c r="FQ409" s="1230"/>
      <c r="FR409" s="1230"/>
      <c r="FS409" s="1230"/>
      <c r="FT409" s="1230"/>
      <c r="FU409" s="1230"/>
      <c r="FV409" s="1230"/>
      <c r="FW409" s="1230"/>
      <c r="FX409" s="1231"/>
      <c r="FY409" s="1231"/>
      <c r="FZ409" s="1152"/>
      <c r="GA409" s="1153"/>
    </row>
    <row r="410" spans="158:183" x14ac:dyDescent="0.35">
      <c r="FB410" s="1230"/>
      <c r="FC410" s="1230"/>
      <c r="FD410" s="1230"/>
      <c r="FE410" s="1230"/>
      <c r="FF410" s="1230"/>
      <c r="FG410" s="1230"/>
      <c r="FH410" s="1230"/>
      <c r="FI410" s="1230"/>
      <c r="FJ410" s="1230"/>
      <c r="FK410" s="1230"/>
      <c r="FL410" s="1230"/>
      <c r="FM410" s="1230"/>
      <c r="FN410" s="1230"/>
      <c r="FO410" s="1230"/>
      <c r="FP410" s="1230"/>
      <c r="FQ410" s="1230"/>
      <c r="FR410" s="1230"/>
      <c r="FS410" s="1230"/>
      <c r="FT410" s="1230"/>
      <c r="FU410" s="1230"/>
      <c r="FV410" s="1230"/>
      <c r="FW410" s="1230"/>
      <c r="FX410" s="1231"/>
      <c r="FY410" s="1231"/>
      <c r="FZ410" s="1152"/>
      <c r="GA410" s="1153"/>
    </row>
    <row r="411" spans="158:183" x14ac:dyDescent="0.35">
      <c r="FB411" s="1230"/>
      <c r="FC411" s="1230"/>
      <c r="FD411" s="1230"/>
      <c r="FE411" s="1230"/>
      <c r="FF411" s="1230"/>
      <c r="FG411" s="1230"/>
      <c r="FH411" s="1230"/>
      <c r="FI411" s="1230"/>
      <c r="FJ411" s="1230"/>
      <c r="FK411" s="1230"/>
      <c r="FL411" s="1230"/>
      <c r="FM411" s="1230"/>
      <c r="FN411" s="1230"/>
      <c r="FO411" s="1230"/>
      <c r="FP411" s="1230"/>
      <c r="FQ411" s="1230"/>
      <c r="FR411" s="1230"/>
      <c r="FS411" s="1230"/>
      <c r="FT411" s="1230"/>
      <c r="FU411" s="1230"/>
      <c r="FV411" s="1230"/>
      <c r="FW411" s="1230"/>
      <c r="FX411" s="1231"/>
      <c r="FY411" s="1231"/>
      <c r="FZ411" s="1152"/>
      <c r="GA411" s="1153"/>
    </row>
    <row r="412" spans="158:183" x14ac:dyDescent="0.35">
      <c r="FB412" s="1230"/>
      <c r="FC412" s="1230"/>
      <c r="FD412" s="1230"/>
      <c r="FE412" s="1230"/>
      <c r="FF412" s="1230"/>
      <c r="FG412" s="1230"/>
      <c r="FH412" s="1230"/>
      <c r="FI412" s="1230"/>
      <c r="FJ412" s="1230"/>
      <c r="FK412" s="1230"/>
      <c r="FL412" s="1230"/>
      <c r="FM412" s="1230"/>
      <c r="FN412" s="1230"/>
      <c r="FO412" s="1230"/>
      <c r="FP412" s="1230"/>
      <c r="FQ412" s="1230"/>
      <c r="FR412" s="1230"/>
      <c r="FS412" s="1230"/>
      <c r="FT412" s="1230"/>
      <c r="FU412" s="1230"/>
      <c r="FV412" s="1230"/>
      <c r="FW412" s="1230"/>
      <c r="FX412" s="1231"/>
      <c r="FY412" s="1231"/>
      <c r="FZ412" s="1152"/>
      <c r="GA412" s="1153"/>
    </row>
    <row r="413" spans="158:183" x14ac:dyDescent="0.35">
      <c r="FB413" s="1230"/>
      <c r="FC413" s="1230"/>
      <c r="FD413" s="1230"/>
      <c r="FE413" s="1230"/>
      <c r="FF413" s="1230"/>
      <c r="FG413" s="1230"/>
      <c r="FH413" s="1230"/>
      <c r="FI413" s="1230"/>
      <c r="FJ413" s="1230"/>
      <c r="FK413" s="1230"/>
      <c r="FL413" s="1230"/>
      <c r="FM413" s="1230"/>
      <c r="FN413" s="1230"/>
      <c r="FO413" s="1230"/>
      <c r="FP413" s="1230"/>
      <c r="FQ413" s="1230"/>
      <c r="FR413" s="1230"/>
      <c r="FS413" s="1230"/>
      <c r="FT413" s="1230"/>
      <c r="FU413" s="1230"/>
      <c r="FV413" s="1230"/>
      <c r="FW413" s="1230"/>
      <c r="FX413" s="1231"/>
      <c r="FY413" s="1231"/>
      <c r="FZ413" s="1152"/>
      <c r="GA413" s="1153"/>
    </row>
    <row r="414" spans="158:183" x14ac:dyDescent="0.35">
      <c r="FB414" s="1230"/>
      <c r="FC414" s="1230"/>
      <c r="FD414" s="1230"/>
      <c r="FE414" s="1230"/>
      <c r="FF414" s="1230"/>
      <c r="FG414" s="1230"/>
      <c r="FH414" s="1230"/>
      <c r="FI414" s="1230"/>
      <c r="FJ414" s="1230"/>
      <c r="FK414" s="1230"/>
      <c r="FL414" s="1230"/>
      <c r="FM414" s="1230"/>
      <c r="FN414" s="1230"/>
      <c r="FO414" s="1230"/>
      <c r="FP414" s="1230"/>
      <c r="FQ414" s="1230"/>
      <c r="FR414" s="1230"/>
      <c r="FS414" s="1230"/>
      <c r="FT414" s="1230"/>
      <c r="FU414" s="1230"/>
      <c r="FV414" s="1230"/>
      <c r="FW414" s="1230"/>
      <c r="FX414" s="1231"/>
      <c r="FY414" s="1231"/>
      <c r="FZ414" s="1152"/>
      <c r="GA414" s="1153"/>
    </row>
    <row r="415" spans="158:183" x14ac:dyDescent="0.35">
      <c r="FB415" s="1230"/>
      <c r="FC415" s="1230"/>
      <c r="FD415" s="1230"/>
      <c r="FE415" s="1230"/>
      <c r="FF415" s="1230"/>
      <c r="FG415" s="1230"/>
      <c r="FH415" s="1230"/>
      <c r="FI415" s="1230"/>
      <c r="FJ415" s="1230"/>
      <c r="FK415" s="1230"/>
      <c r="FL415" s="1230"/>
      <c r="FM415" s="1230"/>
      <c r="FN415" s="1230"/>
      <c r="FO415" s="1230"/>
      <c r="FP415" s="1230"/>
      <c r="FQ415" s="1230"/>
      <c r="FR415" s="1230"/>
      <c r="FS415" s="1230"/>
      <c r="FT415" s="1230"/>
      <c r="FU415" s="1230"/>
      <c r="FV415" s="1230"/>
      <c r="FW415" s="1230"/>
      <c r="FX415" s="1231"/>
      <c r="FY415" s="1231"/>
      <c r="FZ415" s="1152"/>
      <c r="GA415" s="1153"/>
    </row>
    <row r="416" spans="158:183" x14ac:dyDescent="0.35">
      <c r="FB416" s="1230"/>
      <c r="FC416" s="1230"/>
      <c r="FD416" s="1230"/>
      <c r="FE416" s="1230"/>
      <c r="FF416" s="1230"/>
      <c r="FG416" s="1230"/>
      <c r="FH416" s="1230"/>
      <c r="FI416" s="1230"/>
      <c r="FJ416" s="1230"/>
      <c r="FK416" s="1230"/>
      <c r="FL416" s="1230"/>
      <c r="FM416" s="1230"/>
      <c r="FN416" s="1230"/>
      <c r="FO416" s="1230"/>
      <c r="FP416" s="1230"/>
      <c r="FQ416" s="1230"/>
      <c r="FR416" s="1230"/>
      <c r="FS416" s="1230"/>
      <c r="FT416" s="1230"/>
      <c r="FU416" s="1230"/>
      <c r="FV416" s="1230"/>
      <c r="FW416" s="1230"/>
      <c r="FX416" s="1231"/>
      <c r="FY416" s="1231"/>
      <c r="FZ416" s="1152"/>
      <c r="GA416" s="1153"/>
    </row>
    <row r="417" spans="158:183" x14ac:dyDescent="0.35">
      <c r="FB417" s="1230"/>
      <c r="FC417" s="1230"/>
      <c r="FD417" s="1230"/>
      <c r="FE417" s="1230"/>
      <c r="FF417" s="1230"/>
      <c r="FG417" s="1230"/>
      <c r="FH417" s="1230"/>
      <c r="FI417" s="1230"/>
      <c r="FJ417" s="1230"/>
      <c r="FK417" s="1230"/>
      <c r="FL417" s="1230"/>
      <c r="FM417" s="1230"/>
      <c r="FN417" s="1230"/>
      <c r="FO417" s="1230"/>
      <c r="FP417" s="1230"/>
      <c r="FQ417" s="1230"/>
      <c r="FR417" s="1230"/>
      <c r="FS417" s="1230"/>
      <c r="FT417" s="1230"/>
      <c r="FU417" s="1230"/>
      <c r="FV417" s="1230"/>
      <c r="FW417" s="1230"/>
      <c r="FX417" s="1231"/>
      <c r="FY417" s="1231"/>
      <c r="FZ417" s="1152"/>
      <c r="GA417" s="1153"/>
    </row>
    <row r="418" spans="158:183" x14ac:dyDescent="0.35">
      <c r="FB418" s="1230"/>
      <c r="FC418" s="1230"/>
      <c r="FD418" s="1230"/>
      <c r="FE418" s="1230"/>
      <c r="FF418" s="1230"/>
      <c r="FG418" s="1230"/>
      <c r="FH418" s="1230"/>
      <c r="FI418" s="1230"/>
      <c r="FJ418" s="1230"/>
      <c r="FK418" s="1230"/>
      <c r="FL418" s="1230"/>
      <c r="FM418" s="1230"/>
      <c r="FN418" s="1230"/>
      <c r="FO418" s="1230"/>
      <c r="FP418" s="1230"/>
      <c r="FQ418" s="1230"/>
      <c r="FR418" s="1230"/>
      <c r="FS418" s="1230"/>
      <c r="FT418" s="1230"/>
      <c r="FU418" s="1230"/>
      <c r="FV418" s="1230"/>
      <c r="FW418" s="1230"/>
      <c r="FX418" s="1231"/>
      <c r="FY418" s="1231"/>
      <c r="FZ418" s="1152"/>
      <c r="GA418" s="1153"/>
    </row>
    <row r="419" spans="158:183" x14ac:dyDescent="0.35">
      <c r="FB419" s="1230"/>
      <c r="FC419" s="1230"/>
      <c r="FD419" s="1230"/>
      <c r="FE419" s="1230"/>
      <c r="FF419" s="1230"/>
      <c r="FG419" s="1230"/>
      <c r="FH419" s="1230"/>
      <c r="FI419" s="1230"/>
      <c r="FJ419" s="1230"/>
      <c r="FK419" s="1230"/>
      <c r="FL419" s="1230"/>
      <c r="FM419" s="1230"/>
      <c r="FN419" s="1230"/>
      <c r="FO419" s="1230"/>
      <c r="FP419" s="1230"/>
      <c r="FQ419" s="1230"/>
      <c r="FR419" s="1230"/>
      <c r="FS419" s="1230"/>
      <c r="FT419" s="1230"/>
      <c r="FU419" s="1230"/>
      <c r="FV419" s="1230"/>
      <c r="FW419" s="1230"/>
      <c r="FX419" s="1231"/>
      <c r="FY419" s="1231"/>
      <c r="FZ419" s="1152"/>
      <c r="GA419" s="1153"/>
    </row>
    <row r="420" spans="158:183" x14ac:dyDescent="0.35">
      <c r="FB420" s="1230"/>
      <c r="FC420" s="1230"/>
      <c r="FD420" s="1230"/>
      <c r="FE420" s="1230"/>
      <c r="FF420" s="1230"/>
      <c r="FG420" s="1230"/>
      <c r="FH420" s="1230"/>
      <c r="FI420" s="1230"/>
      <c r="FJ420" s="1230"/>
      <c r="FK420" s="1230"/>
      <c r="FL420" s="1230"/>
      <c r="FM420" s="1230"/>
      <c r="FN420" s="1230"/>
      <c r="FO420" s="1230"/>
      <c r="FP420" s="1230"/>
      <c r="FQ420" s="1230"/>
      <c r="FR420" s="1230"/>
      <c r="FS420" s="1230"/>
      <c r="FT420" s="1230"/>
      <c r="FU420" s="1230"/>
      <c r="FV420" s="1230"/>
      <c r="FW420" s="1230"/>
      <c r="FX420" s="1231"/>
      <c r="FY420" s="1231"/>
      <c r="FZ420" s="1152"/>
      <c r="GA420" s="1153"/>
    </row>
    <row r="421" spans="158:183" x14ac:dyDescent="0.35">
      <c r="FB421" s="1230"/>
      <c r="FC421" s="1230"/>
      <c r="FD421" s="1230"/>
      <c r="FE421" s="1230"/>
      <c r="FF421" s="1230"/>
      <c r="FG421" s="1230"/>
      <c r="FH421" s="1230"/>
      <c r="FI421" s="1230"/>
      <c r="FJ421" s="1230"/>
      <c r="FK421" s="1230"/>
      <c r="FL421" s="1230"/>
      <c r="FM421" s="1230"/>
      <c r="FN421" s="1230"/>
      <c r="FO421" s="1230"/>
      <c r="FP421" s="1230"/>
      <c r="FQ421" s="1230"/>
      <c r="FR421" s="1230"/>
      <c r="FS421" s="1230"/>
      <c r="FT421" s="1230"/>
      <c r="FU421" s="1230"/>
      <c r="FV421" s="1230"/>
      <c r="FW421" s="1230"/>
      <c r="FX421" s="1231"/>
      <c r="FY421" s="1231"/>
      <c r="FZ421" s="1152"/>
      <c r="GA421" s="1153"/>
    </row>
    <row r="422" spans="158:183" x14ac:dyDescent="0.35">
      <c r="FB422" s="1230"/>
      <c r="FC422" s="1230"/>
      <c r="FD422" s="1230"/>
      <c r="FE422" s="1230"/>
      <c r="FF422" s="1230"/>
      <c r="FG422" s="1230"/>
      <c r="FH422" s="1230"/>
      <c r="FI422" s="1230"/>
      <c r="FJ422" s="1230"/>
      <c r="FK422" s="1230"/>
      <c r="FL422" s="1230"/>
      <c r="FM422" s="1230"/>
      <c r="FN422" s="1230"/>
      <c r="FO422" s="1230"/>
      <c r="FP422" s="1230"/>
      <c r="FQ422" s="1230"/>
      <c r="FR422" s="1230"/>
      <c r="FS422" s="1230"/>
      <c r="FT422" s="1230"/>
      <c r="FU422" s="1230"/>
      <c r="FV422" s="1230"/>
      <c r="FW422" s="1230"/>
      <c r="FX422" s="1231"/>
      <c r="FY422" s="1231"/>
      <c r="FZ422" s="1152"/>
      <c r="GA422" s="1153"/>
    </row>
    <row r="423" spans="158:183" x14ac:dyDescent="0.35">
      <c r="FB423" s="1230"/>
      <c r="FC423" s="1230"/>
      <c r="FD423" s="1230"/>
      <c r="FE423" s="1230"/>
      <c r="FF423" s="1230"/>
      <c r="FG423" s="1230"/>
      <c r="FH423" s="1230"/>
      <c r="FI423" s="1230"/>
      <c r="FJ423" s="1230"/>
      <c r="FK423" s="1230"/>
      <c r="FL423" s="1230"/>
      <c r="FM423" s="1230"/>
      <c r="FN423" s="1230"/>
      <c r="FO423" s="1230"/>
      <c r="FP423" s="1230"/>
      <c r="FQ423" s="1230"/>
      <c r="FR423" s="1230"/>
      <c r="FS423" s="1230"/>
      <c r="FT423" s="1230"/>
      <c r="FU423" s="1230"/>
      <c r="FV423" s="1230"/>
      <c r="FW423" s="1230"/>
      <c r="FX423" s="1231"/>
      <c r="FY423" s="1231"/>
      <c r="FZ423" s="1152"/>
      <c r="GA423" s="1153"/>
    </row>
    <row r="424" spans="158:183" x14ac:dyDescent="0.35">
      <c r="FB424" s="1230"/>
      <c r="FC424" s="1230"/>
      <c r="FD424" s="1230"/>
      <c r="FE424" s="1230"/>
      <c r="FF424" s="1230"/>
      <c r="FG424" s="1230"/>
      <c r="FH424" s="1230"/>
      <c r="FI424" s="1230"/>
      <c r="FJ424" s="1230"/>
      <c r="FK424" s="1230"/>
      <c r="FL424" s="1230"/>
      <c r="FM424" s="1230"/>
      <c r="FN424" s="1230"/>
      <c r="FO424" s="1230"/>
      <c r="FP424" s="1230"/>
      <c r="FQ424" s="1230"/>
      <c r="FR424" s="1230"/>
      <c r="FS424" s="1230"/>
      <c r="FT424" s="1230"/>
      <c r="FU424" s="1230"/>
      <c r="FV424" s="1230"/>
      <c r="FW424" s="1230"/>
      <c r="FX424" s="1231"/>
      <c r="FY424" s="1231"/>
      <c r="FZ424" s="1152"/>
      <c r="GA424" s="1153"/>
    </row>
    <row r="425" spans="158:183" x14ac:dyDescent="0.35">
      <c r="FB425" s="1230"/>
      <c r="FC425" s="1230"/>
      <c r="FD425" s="1230"/>
      <c r="FE425" s="1230"/>
      <c r="FF425" s="1230"/>
      <c r="FG425" s="1230"/>
      <c r="FH425" s="1230"/>
      <c r="FI425" s="1230"/>
      <c r="FJ425" s="1230"/>
      <c r="FK425" s="1230"/>
      <c r="FL425" s="1230"/>
      <c r="FM425" s="1230"/>
      <c r="FN425" s="1230"/>
      <c r="FO425" s="1230"/>
      <c r="FP425" s="1230"/>
      <c r="FQ425" s="1230"/>
      <c r="FR425" s="1230"/>
      <c r="FS425" s="1230"/>
      <c r="FT425" s="1230"/>
      <c r="FU425" s="1230"/>
      <c r="FV425" s="1230"/>
      <c r="FW425" s="1230"/>
      <c r="FX425" s="1231"/>
      <c r="FY425" s="1231"/>
      <c r="FZ425" s="1152"/>
      <c r="GA425" s="1153"/>
    </row>
    <row r="426" spans="158:183" x14ac:dyDescent="0.35">
      <c r="FB426" s="1230"/>
      <c r="FC426" s="1230"/>
      <c r="FD426" s="1230"/>
      <c r="FE426" s="1230"/>
      <c r="FF426" s="1230"/>
      <c r="FG426" s="1230"/>
      <c r="FH426" s="1230"/>
      <c r="FI426" s="1230"/>
      <c r="FJ426" s="1230"/>
      <c r="FK426" s="1230"/>
      <c r="FL426" s="1230"/>
      <c r="FM426" s="1230"/>
      <c r="FN426" s="1230"/>
      <c r="FO426" s="1230"/>
      <c r="FP426" s="1230"/>
      <c r="FQ426" s="1230"/>
      <c r="FR426" s="1230"/>
      <c r="FS426" s="1230"/>
      <c r="FT426" s="1230"/>
      <c r="FU426" s="1230"/>
      <c r="FV426" s="1230"/>
      <c r="FW426" s="1230"/>
      <c r="FX426" s="1231"/>
      <c r="FY426" s="1231"/>
      <c r="FZ426" s="1152"/>
      <c r="GA426" s="1153"/>
    </row>
    <row r="427" spans="158:183" x14ac:dyDescent="0.35">
      <c r="FB427" s="1230"/>
      <c r="FC427" s="1230"/>
      <c r="FD427" s="1230"/>
      <c r="FE427" s="1230"/>
      <c r="FF427" s="1230"/>
      <c r="FG427" s="1230"/>
      <c r="FH427" s="1230"/>
      <c r="FI427" s="1230"/>
      <c r="FJ427" s="1230"/>
      <c r="FK427" s="1230"/>
      <c r="FL427" s="1230"/>
      <c r="FM427" s="1230"/>
      <c r="FN427" s="1230"/>
      <c r="FO427" s="1230"/>
      <c r="FP427" s="1230"/>
      <c r="FQ427" s="1230"/>
      <c r="FR427" s="1230"/>
      <c r="FS427" s="1230"/>
      <c r="FT427" s="1230"/>
      <c r="FU427" s="1230"/>
      <c r="FV427" s="1230"/>
      <c r="FW427" s="1230"/>
      <c r="FX427" s="1231"/>
      <c r="FY427" s="1231"/>
      <c r="FZ427" s="1152"/>
      <c r="GA427" s="1153"/>
    </row>
    <row r="428" spans="158:183" x14ac:dyDescent="0.35">
      <c r="FB428" s="1230"/>
      <c r="FC428" s="1230"/>
      <c r="FD428" s="1230"/>
      <c r="FE428" s="1230"/>
      <c r="FF428" s="1230"/>
      <c r="FG428" s="1230"/>
      <c r="FH428" s="1230"/>
      <c r="FI428" s="1230"/>
      <c r="FJ428" s="1230"/>
      <c r="FK428" s="1230"/>
      <c r="FL428" s="1230"/>
      <c r="FM428" s="1230"/>
      <c r="FN428" s="1230"/>
      <c r="FO428" s="1230"/>
      <c r="FP428" s="1230"/>
      <c r="FQ428" s="1230"/>
      <c r="FR428" s="1230"/>
      <c r="FS428" s="1230"/>
      <c r="FT428" s="1230"/>
      <c r="FU428" s="1230"/>
      <c r="FV428" s="1230"/>
      <c r="FW428" s="1230"/>
      <c r="FX428" s="1231"/>
      <c r="FY428" s="1231"/>
      <c r="FZ428" s="1152"/>
      <c r="GA428" s="1153"/>
    </row>
    <row r="429" spans="158:183" x14ac:dyDescent="0.35">
      <c r="FB429" s="1230"/>
      <c r="FC429" s="1230"/>
      <c r="FD429" s="1230"/>
      <c r="FE429" s="1230"/>
      <c r="FF429" s="1230"/>
      <c r="FG429" s="1230"/>
      <c r="FH429" s="1230"/>
      <c r="FI429" s="1230"/>
      <c r="FJ429" s="1230"/>
      <c r="FK429" s="1230"/>
      <c r="FL429" s="1230"/>
      <c r="FM429" s="1230"/>
      <c r="FN429" s="1230"/>
      <c r="FO429" s="1230"/>
      <c r="FP429" s="1230"/>
      <c r="FQ429" s="1230"/>
      <c r="FR429" s="1230"/>
      <c r="FS429" s="1230"/>
      <c r="FT429" s="1230"/>
      <c r="FU429" s="1230"/>
      <c r="FV429" s="1230"/>
      <c r="FW429" s="1230"/>
      <c r="FX429" s="1231"/>
      <c r="FY429" s="1231"/>
      <c r="FZ429" s="1152"/>
      <c r="GA429" s="1153"/>
    </row>
    <row r="430" spans="158:183" x14ac:dyDescent="0.35">
      <c r="FB430" s="1230"/>
      <c r="FC430" s="1230"/>
      <c r="FD430" s="1230"/>
      <c r="FE430" s="1230"/>
      <c r="FF430" s="1230"/>
      <c r="FG430" s="1230"/>
      <c r="FH430" s="1230"/>
      <c r="FI430" s="1230"/>
      <c r="FJ430" s="1230"/>
      <c r="FK430" s="1230"/>
      <c r="FL430" s="1230"/>
      <c r="FM430" s="1230"/>
      <c r="FN430" s="1230"/>
      <c r="FO430" s="1230"/>
      <c r="FP430" s="1230"/>
      <c r="FQ430" s="1230"/>
      <c r="FR430" s="1230"/>
      <c r="FS430" s="1230"/>
      <c r="FT430" s="1230"/>
      <c r="FU430" s="1230"/>
      <c r="FV430" s="1230"/>
      <c r="FW430" s="1230"/>
      <c r="FX430" s="1231"/>
      <c r="FY430" s="1231"/>
      <c r="FZ430" s="1152"/>
      <c r="GA430" s="1153"/>
    </row>
    <row r="431" spans="158:183" x14ac:dyDescent="0.35">
      <c r="FB431" s="1230"/>
      <c r="FC431" s="1230"/>
      <c r="FD431" s="1230"/>
      <c r="FE431" s="1230"/>
      <c r="FF431" s="1230"/>
      <c r="FG431" s="1230"/>
      <c r="FH431" s="1230"/>
      <c r="FI431" s="1230"/>
      <c r="FJ431" s="1230"/>
      <c r="FK431" s="1230"/>
      <c r="FL431" s="1230"/>
      <c r="FM431" s="1230"/>
      <c r="FN431" s="1230"/>
      <c r="FO431" s="1230"/>
      <c r="FP431" s="1230"/>
      <c r="FQ431" s="1230"/>
      <c r="FR431" s="1230"/>
      <c r="FS431" s="1230"/>
      <c r="FT431" s="1230"/>
      <c r="FU431" s="1230"/>
      <c r="FV431" s="1230"/>
      <c r="FW431" s="1230"/>
      <c r="FX431" s="1231"/>
      <c r="FY431" s="1231"/>
      <c r="FZ431" s="1152"/>
      <c r="GA431" s="1153"/>
    </row>
    <row r="432" spans="158:183" x14ac:dyDescent="0.35">
      <c r="FB432" s="1230"/>
      <c r="FC432" s="1230"/>
      <c r="FD432" s="1230"/>
      <c r="FE432" s="1230"/>
      <c r="FF432" s="1230"/>
      <c r="FG432" s="1230"/>
      <c r="FH432" s="1230"/>
      <c r="FI432" s="1230"/>
      <c r="FJ432" s="1230"/>
      <c r="FK432" s="1230"/>
      <c r="FL432" s="1230"/>
      <c r="FM432" s="1230"/>
      <c r="FN432" s="1230"/>
      <c r="FO432" s="1230"/>
      <c r="FP432" s="1230"/>
      <c r="FQ432" s="1230"/>
      <c r="FR432" s="1230"/>
      <c r="FS432" s="1230"/>
      <c r="FT432" s="1230"/>
      <c r="FU432" s="1230"/>
      <c r="FV432" s="1230"/>
      <c r="FW432" s="1230"/>
      <c r="FX432" s="1231"/>
      <c r="FY432" s="1231"/>
      <c r="FZ432" s="1152"/>
      <c r="GA432" s="1153"/>
    </row>
    <row r="433" spans="158:183" x14ac:dyDescent="0.35">
      <c r="FB433" s="1230"/>
      <c r="FC433" s="1230"/>
      <c r="FD433" s="1230"/>
      <c r="FE433" s="1230"/>
      <c r="FF433" s="1230"/>
      <c r="FG433" s="1230"/>
      <c r="FH433" s="1230"/>
      <c r="FI433" s="1230"/>
      <c r="FJ433" s="1230"/>
      <c r="FK433" s="1230"/>
      <c r="FL433" s="1230"/>
      <c r="FM433" s="1230"/>
      <c r="FN433" s="1230"/>
      <c r="FO433" s="1230"/>
      <c r="FP433" s="1230"/>
      <c r="FQ433" s="1230"/>
      <c r="FR433" s="1230"/>
      <c r="FS433" s="1230"/>
      <c r="FT433" s="1230"/>
      <c r="FU433" s="1230"/>
      <c r="FV433" s="1230"/>
      <c r="FW433" s="1230"/>
      <c r="FX433" s="1231"/>
      <c r="FY433" s="1231"/>
      <c r="FZ433" s="1152"/>
      <c r="GA433" s="1153"/>
    </row>
    <row r="434" spans="158:183" x14ac:dyDescent="0.35">
      <c r="FB434" s="1230"/>
      <c r="FC434" s="1230"/>
      <c r="FD434" s="1230"/>
      <c r="FE434" s="1230"/>
      <c r="FF434" s="1230"/>
      <c r="FG434" s="1230"/>
      <c r="FH434" s="1230"/>
      <c r="FI434" s="1230"/>
      <c r="FJ434" s="1230"/>
      <c r="FK434" s="1230"/>
      <c r="FL434" s="1230"/>
      <c r="FM434" s="1230"/>
      <c r="FN434" s="1230"/>
      <c r="FO434" s="1230"/>
      <c r="FP434" s="1230"/>
      <c r="FQ434" s="1230"/>
      <c r="FR434" s="1230"/>
      <c r="FS434" s="1230"/>
      <c r="FT434" s="1230"/>
      <c r="FU434" s="1230"/>
      <c r="FV434" s="1230"/>
      <c r="FW434" s="1230"/>
      <c r="FX434" s="1231"/>
      <c r="FY434" s="1231"/>
      <c r="FZ434" s="1152"/>
      <c r="GA434" s="1153"/>
    </row>
    <row r="435" spans="158:183" x14ac:dyDescent="0.35">
      <c r="FB435" s="1230"/>
      <c r="FC435" s="1230"/>
      <c r="FD435" s="1230"/>
      <c r="FE435" s="1230"/>
      <c r="FF435" s="1230"/>
      <c r="FG435" s="1230"/>
      <c r="FH435" s="1230"/>
      <c r="FI435" s="1230"/>
      <c r="FJ435" s="1230"/>
      <c r="FK435" s="1230"/>
      <c r="FL435" s="1230"/>
      <c r="FM435" s="1230"/>
      <c r="FN435" s="1230"/>
      <c r="FO435" s="1230"/>
      <c r="FP435" s="1230"/>
      <c r="FQ435" s="1230"/>
      <c r="FR435" s="1230"/>
      <c r="FS435" s="1230"/>
      <c r="FT435" s="1230"/>
      <c r="FU435" s="1230"/>
      <c r="FV435" s="1230"/>
      <c r="FW435" s="1230"/>
      <c r="FX435" s="1231"/>
      <c r="FY435" s="1231"/>
      <c r="FZ435" s="1152"/>
      <c r="GA435" s="1153"/>
    </row>
    <row r="436" spans="158:183" x14ac:dyDescent="0.35">
      <c r="FB436" s="1230"/>
      <c r="FC436" s="1230"/>
      <c r="FD436" s="1230"/>
      <c r="FE436" s="1230"/>
      <c r="FF436" s="1230"/>
      <c r="FG436" s="1230"/>
      <c r="FH436" s="1230"/>
      <c r="FI436" s="1230"/>
      <c r="FJ436" s="1230"/>
      <c r="FK436" s="1230"/>
      <c r="FL436" s="1230"/>
      <c r="FM436" s="1230"/>
      <c r="FN436" s="1230"/>
      <c r="FO436" s="1230"/>
      <c r="FP436" s="1230"/>
      <c r="FQ436" s="1230"/>
      <c r="FR436" s="1230"/>
      <c r="FS436" s="1230"/>
      <c r="FT436" s="1230"/>
      <c r="FU436" s="1230"/>
      <c r="FV436" s="1230"/>
      <c r="FW436" s="1230"/>
      <c r="FX436" s="1231"/>
      <c r="FY436" s="1231"/>
      <c r="FZ436" s="1152"/>
      <c r="GA436" s="1153"/>
    </row>
    <row r="437" spans="158:183" x14ac:dyDescent="0.35">
      <c r="FB437" s="1230"/>
      <c r="FC437" s="1230"/>
      <c r="FD437" s="1230"/>
      <c r="FE437" s="1230"/>
      <c r="FF437" s="1230"/>
      <c r="FG437" s="1230"/>
      <c r="FH437" s="1230"/>
      <c r="FI437" s="1230"/>
      <c r="FJ437" s="1230"/>
      <c r="FK437" s="1230"/>
      <c r="FL437" s="1230"/>
      <c r="FM437" s="1230"/>
      <c r="FN437" s="1230"/>
      <c r="FO437" s="1230"/>
      <c r="FP437" s="1230"/>
      <c r="FQ437" s="1230"/>
      <c r="FR437" s="1230"/>
      <c r="FS437" s="1230"/>
      <c r="FT437" s="1230"/>
      <c r="FU437" s="1230"/>
      <c r="FV437" s="1230"/>
      <c r="FW437" s="1230"/>
      <c r="FX437" s="1231"/>
      <c r="FY437" s="1231"/>
      <c r="FZ437" s="1152"/>
      <c r="GA437" s="1153"/>
    </row>
    <row r="438" spans="158:183" x14ac:dyDescent="0.35">
      <c r="FB438" s="1230"/>
      <c r="FC438" s="1230"/>
      <c r="FD438" s="1230"/>
      <c r="FE438" s="1230"/>
      <c r="FF438" s="1230"/>
      <c r="FG438" s="1230"/>
      <c r="FH438" s="1230"/>
      <c r="FI438" s="1230"/>
      <c r="FJ438" s="1230"/>
      <c r="FK438" s="1230"/>
      <c r="FL438" s="1230"/>
      <c r="FM438" s="1230"/>
      <c r="FN438" s="1230"/>
      <c r="FO438" s="1230"/>
      <c r="FP438" s="1230"/>
      <c r="FQ438" s="1230"/>
      <c r="FR438" s="1230"/>
      <c r="FS438" s="1230"/>
      <c r="FT438" s="1230"/>
      <c r="FU438" s="1230"/>
      <c r="FV438" s="1230"/>
      <c r="FW438" s="1230"/>
      <c r="FX438" s="1231"/>
      <c r="FY438" s="1231"/>
      <c r="FZ438" s="1152"/>
      <c r="GA438" s="1153"/>
    </row>
    <row r="439" spans="158:183" x14ac:dyDescent="0.35">
      <c r="FB439" s="1230"/>
      <c r="FC439" s="1230"/>
      <c r="FD439" s="1230"/>
      <c r="FE439" s="1230"/>
      <c r="FF439" s="1230"/>
      <c r="FG439" s="1230"/>
      <c r="FH439" s="1230"/>
      <c r="FI439" s="1230"/>
      <c r="FJ439" s="1230"/>
      <c r="FK439" s="1230"/>
      <c r="FL439" s="1230"/>
      <c r="FM439" s="1230"/>
      <c r="FN439" s="1230"/>
      <c r="FO439" s="1230"/>
      <c r="FP439" s="1230"/>
      <c r="FQ439" s="1230"/>
      <c r="FR439" s="1230"/>
      <c r="FS439" s="1230"/>
      <c r="FT439" s="1230"/>
      <c r="FU439" s="1230"/>
      <c r="FV439" s="1230"/>
      <c r="FW439" s="1230"/>
      <c r="FX439" s="1231"/>
      <c r="FY439" s="1231"/>
      <c r="FZ439" s="1152"/>
      <c r="GA439" s="1153"/>
    </row>
    <row r="440" spans="158:183" x14ac:dyDescent="0.35">
      <c r="FB440" s="1230"/>
      <c r="FC440" s="1230"/>
      <c r="FD440" s="1230"/>
      <c r="FE440" s="1230"/>
      <c r="FF440" s="1230"/>
      <c r="FG440" s="1230"/>
      <c r="FH440" s="1230"/>
      <c r="FI440" s="1230"/>
      <c r="FJ440" s="1230"/>
      <c r="FK440" s="1230"/>
      <c r="FL440" s="1230"/>
      <c r="FM440" s="1230"/>
      <c r="FN440" s="1230"/>
      <c r="FO440" s="1230"/>
      <c r="FP440" s="1230"/>
      <c r="FQ440" s="1230"/>
      <c r="FR440" s="1230"/>
      <c r="FS440" s="1230"/>
      <c r="FT440" s="1230"/>
      <c r="FU440" s="1230"/>
      <c r="FV440" s="1230"/>
      <c r="FW440" s="1230"/>
      <c r="FX440" s="1231"/>
      <c r="FY440" s="1231"/>
      <c r="FZ440" s="1152"/>
      <c r="GA440" s="1153"/>
    </row>
    <row r="441" spans="158:183" x14ac:dyDescent="0.35">
      <c r="FB441" s="1230"/>
      <c r="FC441" s="1230"/>
      <c r="FD441" s="1230"/>
      <c r="FE441" s="1230"/>
      <c r="FF441" s="1230"/>
      <c r="FG441" s="1230"/>
      <c r="FH441" s="1230"/>
      <c r="FI441" s="1230"/>
      <c r="FJ441" s="1230"/>
      <c r="FK441" s="1230"/>
      <c r="FL441" s="1230"/>
      <c r="FM441" s="1230"/>
      <c r="FN441" s="1230"/>
      <c r="FO441" s="1230"/>
      <c r="FP441" s="1230"/>
      <c r="FQ441" s="1230"/>
      <c r="FR441" s="1230"/>
      <c r="FS441" s="1230"/>
      <c r="FT441" s="1230"/>
      <c r="FU441" s="1230"/>
      <c r="FV441" s="1230"/>
      <c r="FW441" s="1230"/>
      <c r="FX441" s="1231"/>
      <c r="FY441" s="1231"/>
      <c r="FZ441" s="1152"/>
      <c r="GA441" s="1153"/>
    </row>
    <row r="442" spans="158:183" x14ac:dyDescent="0.35">
      <c r="FB442" s="1230"/>
      <c r="FC442" s="1230"/>
      <c r="FD442" s="1230"/>
      <c r="FE442" s="1230"/>
      <c r="FF442" s="1230"/>
      <c r="FG442" s="1230"/>
      <c r="FH442" s="1230"/>
      <c r="FI442" s="1230"/>
      <c r="FJ442" s="1230"/>
      <c r="FK442" s="1230"/>
      <c r="FL442" s="1230"/>
      <c r="FM442" s="1230"/>
      <c r="FN442" s="1230"/>
      <c r="FO442" s="1230"/>
      <c r="FP442" s="1230"/>
      <c r="FQ442" s="1230"/>
      <c r="FR442" s="1230"/>
      <c r="FS442" s="1230"/>
      <c r="FT442" s="1230"/>
      <c r="FU442" s="1230"/>
      <c r="FV442" s="1230"/>
      <c r="FW442" s="1230"/>
      <c r="FX442" s="1231"/>
      <c r="FY442" s="1231"/>
      <c r="FZ442" s="1152"/>
      <c r="GA442" s="1153"/>
    </row>
    <row r="443" spans="158:183" x14ac:dyDescent="0.35">
      <c r="FB443" s="1230"/>
      <c r="FC443" s="1230"/>
      <c r="FD443" s="1230"/>
      <c r="FE443" s="1230"/>
      <c r="FF443" s="1230"/>
      <c r="FG443" s="1230"/>
      <c r="FH443" s="1230"/>
      <c r="FI443" s="1230"/>
      <c r="FJ443" s="1230"/>
      <c r="FK443" s="1230"/>
      <c r="FL443" s="1230"/>
      <c r="FM443" s="1230"/>
      <c r="FN443" s="1230"/>
      <c r="FO443" s="1230"/>
      <c r="FP443" s="1230"/>
      <c r="FQ443" s="1230"/>
      <c r="FR443" s="1230"/>
      <c r="FS443" s="1230"/>
      <c r="FT443" s="1230"/>
      <c r="FU443" s="1230"/>
      <c r="FV443" s="1230"/>
      <c r="FW443" s="1230"/>
      <c r="FX443" s="1231"/>
      <c r="FY443" s="1231"/>
      <c r="FZ443" s="1152"/>
      <c r="GA443" s="1153"/>
    </row>
    <row r="444" spans="158:183" x14ac:dyDescent="0.35">
      <c r="FB444" s="1230"/>
      <c r="FC444" s="1230"/>
      <c r="FD444" s="1230"/>
      <c r="FE444" s="1230"/>
      <c r="FF444" s="1230"/>
      <c r="FG444" s="1230"/>
      <c r="FH444" s="1230"/>
      <c r="FI444" s="1230"/>
      <c r="FJ444" s="1230"/>
      <c r="FK444" s="1230"/>
      <c r="FL444" s="1230"/>
      <c r="FM444" s="1230"/>
      <c r="FN444" s="1230"/>
      <c r="FO444" s="1230"/>
      <c r="FP444" s="1230"/>
      <c r="FQ444" s="1230"/>
      <c r="FR444" s="1230"/>
      <c r="FS444" s="1230"/>
      <c r="FT444" s="1230"/>
      <c r="FU444" s="1230"/>
      <c r="FV444" s="1230"/>
      <c r="FW444" s="1230"/>
      <c r="FX444" s="1231"/>
      <c r="FY444" s="1231"/>
      <c r="FZ444" s="1152"/>
      <c r="GA444" s="1153"/>
    </row>
    <row r="445" spans="158:183" x14ac:dyDescent="0.35">
      <c r="FB445" s="1230"/>
      <c r="FC445" s="1230"/>
      <c r="FD445" s="1230"/>
      <c r="FE445" s="1230"/>
      <c r="FF445" s="1230"/>
      <c r="FG445" s="1230"/>
      <c r="FH445" s="1230"/>
      <c r="FI445" s="1230"/>
      <c r="FJ445" s="1230"/>
      <c r="FK445" s="1230"/>
      <c r="FL445" s="1230"/>
      <c r="FM445" s="1230"/>
      <c r="FN445" s="1230"/>
      <c r="FO445" s="1230"/>
      <c r="FP445" s="1230"/>
      <c r="FQ445" s="1230"/>
      <c r="FR445" s="1230"/>
      <c r="FS445" s="1230"/>
      <c r="FT445" s="1230"/>
      <c r="FU445" s="1230"/>
      <c r="FV445" s="1230"/>
      <c r="FW445" s="1230"/>
      <c r="FX445" s="1231"/>
      <c r="FY445" s="1231"/>
      <c r="FZ445" s="1152"/>
      <c r="GA445" s="1153"/>
    </row>
    <row r="446" spans="158:183" x14ac:dyDescent="0.35">
      <c r="FB446" s="1230"/>
      <c r="FC446" s="1230"/>
      <c r="FD446" s="1230"/>
      <c r="FE446" s="1230"/>
      <c r="FF446" s="1230"/>
      <c r="FG446" s="1230"/>
      <c r="FH446" s="1230"/>
      <c r="FI446" s="1230"/>
      <c r="FJ446" s="1230"/>
      <c r="FK446" s="1230"/>
      <c r="FL446" s="1230"/>
      <c r="FM446" s="1230"/>
      <c r="FN446" s="1230"/>
      <c r="FO446" s="1230"/>
      <c r="FP446" s="1230"/>
      <c r="FQ446" s="1230"/>
      <c r="FR446" s="1230"/>
      <c r="FS446" s="1230"/>
      <c r="FT446" s="1230"/>
      <c r="FU446" s="1230"/>
      <c r="FV446" s="1230"/>
      <c r="FW446" s="1230"/>
      <c r="FX446" s="1231"/>
      <c r="FY446" s="1231"/>
      <c r="FZ446" s="1152"/>
      <c r="GA446" s="1153"/>
    </row>
    <row r="447" spans="158:183" x14ac:dyDescent="0.35">
      <c r="FB447" s="1230"/>
      <c r="FC447" s="1230"/>
      <c r="FD447" s="1230"/>
      <c r="FE447" s="1230"/>
      <c r="FF447" s="1230"/>
      <c r="FG447" s="1230"/>
      <c r="FH447" s="1230"/>
      <c r="FI447" s="1230"/>
      <c r="FJ447" s="1230"/>
      <c r="FK447" s="1230"/>
      <c r="FL447" s="1230"/>
      <c r="FM447" s="1230"/>
      <c r="FN447" s="1230"/>
      <c r="FO447" s="1230"/>
      <c r="FP447" s="1230"/>
      <c r="FQ447" s="1230"/>
      <c r="FR447" s="1230"/>
      <c r="FS447" s="1230"/>
      <c r="FT447" s="1230"/>
      <c r="FU447" s="1230"/>
      <c r="FV447" s="1230"/>
      <c r="FW447" s="1230"/>
      <c r="FX447" s="1231"/>
      <c r="FY447" s="1231"/>
      <c r="FZ447" s="1152"/>
      <c r="GA447" s="1153"/>
    </row>
    <row r="448" spans="158:183" x14ac:dyDescent="0.35">
      <c r="FB448" s="1230"/>
      <c r="FC448" s="1230"/>
      <c r="FD448" s="1230"/>
      <c r="FE448" s="1230"/>
      <c r="FF448" s="1230"/>
      <c r="FG448" s="1230"/>
      <c r="FH448" s="1230"/>
      <c r="FI448" s="1230"/>
      <c r="FJ448" s="1230"/>
      <c r="FK448" s="1230"/>
      <c r="FL448" s="1230"/>
      <c r="FM448" s="1230"/>
      <c r="FN448" s="1230"/>
      <c r="FO448" s="1230"/>
      <c r="FP448" s="1230"/>
      <c r="FQ448" s="1230"/>
      <c r="FR448" s="1230"/>
      <c r="FS448" s="1230"/>
      <c r="FT448" s="1230"/>
      <c r="FU448" s="1230"/>
      <c r="FV448" s="1230"/>
      <c r="FW448" s="1230"/>
      <c r="FX448" s="1231"/>
      <c r="FY448" s="1231"/>
      <c r="FZ448" s="1152"/>
      <c r="GA448" s="1153"/>
    </row>
    <row r="449" spans="158:183" x14ac:dyDescent="0.35">
      <c r="FB449" s="1230"/>
      <c r="FC449" s="1230"/>
      <c r="FD449" s="1230"/>
      <c r="FE449" s="1230"/>
      <c r="FF449" s="1230"/>
      <c r="FG449" s="1230"/>
      <c r="FH449" s="1230"/>
      <c r="FI449" s="1230"/>
      <c r="FJ449" s="1230"/>
      <c r="FK449" s="1230"/>
      <c r="FL449" s="1230"/>
      <c r="FM449" s="1230"/>
      <c r="FN449" s="1230"/>
      <c r="FO449" s="1230"/>
      <c r="FP449" s="1230"/>
      <c r="FQ449" s="1230"/>
      <c r="FR449" s="1230"/>
      <c r="FS449" s="1230"/>
      <c r="FT449" s="1230"/>
      <c r="FU449" s="1230"/>
      <c r="FV449" s="1230"/>
      <c r="FW449" s="1230"/>
      <c r="FX449" s="1231"/>
      <c r="FY449" s="1231"/>
      <c r="FZ449" s="1152"/>
      <c r="GA449" s="1153"/>
    </row>
    <row r="450" spans="158:183" x14ac:dyDescent="0.35">
      <c r="FB450" s="1230"/>
      <c r="FC450" s="1230"/>
      <c r="FD450" s="1230"/>
      <c r="FE450" s="1230"/>
      <c r="FF450" s="1230"/>
      <c r="FG450" s="1230"/>
      <c r="FH450" s="1230"/>
      <c r="FI450" s="1230"/>
      <c r="FJ450" s="1230"/>
      <c r="FK450" s="1230"/>
      <c r="FL450" s="1230"/>
      <c r="FM450" s="1230"/>
      <c r="FN450" s="1230"/>
      <c r="FO450" s="1230"/>
      <c r="FP450" s="1230"/>
      <c r="FQ450" s="1230"/>
      <c r="FR450" s="1230"/>
      <c r="FS450" s="1230"/>
      <c r="FT450" s="1230"/>
      <c r="FU450" s="1230"/>
      <c r="FV450" s="1230"/>
      <c r="FW450" s="1230"/>
      <c r="FX450" s="1231"/>
      <c r="FY450" s="1231"/>
      <c r="FZ450" s="1152"/>
      <c r="GA450" s="1153"/>
    </row>
    <row r="451" spans="158:183" x14ac:dyDescent="0.35">
      <c r="FB451" s="1230"/>
      <c r="FC451" s="1230"/>
      <c r="FD451" s="1230"/>
      <c r="FE451" s="1230"/>
      <c r="FF451" s="1230"/>
      <c r="FG451" s="1230"/>
      <c r="FH451" s="1230"/>
      <c r="FI451" s="1230"/>
      <c r="FJ451" s="1230"/>
      <c r="FK451" s="1230"/>
      <c r="FL451" s="1230"/>
      <c r="FM451" s="1230"/>
      <c r="FN451" s="1230"/>
      <c r="FO451" s="1230"/>
      <c r="FP451" s="1230"/>
      <c r="FQ451" s="1230"/>
      <c r="FR451" s="1230"/>
      <c r="FS451" s="1230"/>
      <c r="FT451" s="1230"/>
      <c r="FU451" s="1230"/>
      <c r="FV451" s="1230"/>
      <c r="FW451" s="1230"/>
      <c r="FX451" s="1231"/>
      <c r="FY451" s="1231"/>
      <c r="FZ451" s="1152"/>
      <c r="GA451" s="1153"/>
    </row>
    <row r="452" spans="158:183" x14ac:dyDescent="0.35">
      <c r="FB452" s="1230"/>
      <c r="FC452" s="1230"/>
      <c r="FD452" s="1230"/>
      <c r="FE452" s="1230"/>
      <c r="FF452" s="1230"/>
      <c r="FG452" s="1230"/>
      <c r="FH452" s="1230"/>
      <c r="FI452" s="1230"/>
      <c r="FJ452" s="1230"/>
      <c r="FK452" s="1230"/>
      <c r="FL452" s="1230"/>
      <c r="FM452" s="1230"/>
      <c r="FN452" s="1230"/>
      <c r="FO452" s="1230"/>
      <c r="FP452" s="1230"/>
      <c r="FQ452" s="1230"/>
      <c r="FR452" s="1230"/>
      <c r="FS452" s="1230"/>
      <c r="FT452" s="1230"/>
      <c r="FU452" s="1230"/>
      <c r="FV452" s="1230"/>
      <c r="FW452" s="1230"/>
      <c r="FX452" s="1231"/>
      <c r="FY452" s="1231"/>
      <c r="FZ452" s="1152"/>
      <c r="GA452" s="1153"/>
    </row>
    <row r="453" spans="158:183" x14ac:dyDescent="0.35">
      <c r="FB453" s="1230"/>
      <c r="FC453" s="1230"/>
      <c r="FD453" s="1230"/>
      <c r="FE453" s="1230"/>
      <c r="FF453" s="1230"/>
      <c r="FG453" s="1230"/>
      <c r="FH453" s="1230"/>
      <c r="FI453" s="1230"/>
      <c r="FJ453" s="1230"/>
      <c r="FK453" s="1230"/>
      <c r="FL453" s="1230"/>
      <c r="FM453" s="1230"/>
      <c r="FN453" s="1230"/>
      <c r="FO453" s="1230"/>
      <c r="FP453" s="1230"/>
      <c r="FQ453" s="1230"/>
      <c r="FR453" s="1230"/>
      <c r="FS453" s="1230"/>
      <c r="FT453" s="1230"/>
      <c r="FU453" s="1230"/>
      <c r="FV453" s="1230"/>
      <c r="FW453" s="1230"/>
      <c r="FX453" s="1231"/>
      <c r="FY453" s="1231"/>
      <c r="FZ453" s="1152"/>
      <c r="GA453" s="1153"/>
    </row>
    <row r="454" spans="158:183" x14ac:dyDescent="0.35">
      <c r="FB454" s="1230"/>
      <c r="FC454" s="1230"/>
      <c r="FD454" s="1230"/>
      <c r="FE454" s="1230"/>
      <c r="FF454" s="1230"/>
      <c r="FG454" s="1230"/>
      <c r="FH454" s="1230"/>
      <c r="FI454" s="1230"/>
      <c r="FJ454" s="1230"/>
      <c r="FK454" s="1230"/>
      <c r="FL454" s="1230"/>
      <c r="FM454" s="1230"/>
      <c r="FN454" s="1230"/>
      <c r="FO454" s="1230"/>
      <c r="FP454" s="1230"/>
      <c r="FQ454" s="1230"/>
      <c r="FR454" s="1230"/>
      <c r="FS454" s="1230"/>
      <c r="FT454" s="1230"/>
      <c r="FU454" s="1230"/>
      <c r="FV454" s="1230"/>
      <c r="FW454" s="1230"/>
      <c r="FX454" s="1231"/>
      <c r="FY454" s="1231"/>
      <c r="FZ454" s="1152"/>
      <c r="GA454" s="1153"/>
    </row>
    <row r="455" spans="158:183" x14ac:dyDescent="0.35">
      <c r="FB455" s="1230"/>
      <c r="FC455" s="1230"/>
      <c r="FD455" s="1230"/>
      <c r="FE455" s="1230"/>
      <c r="FF455" s="1230"/>
      <c r="FG455" s="1230"/>
      <c r="FH455" s="1230"/>
      <c r="FI455" s="1230"/>
      <c r="FJ455" s="1230"/>
      <c r="FK455" s="1230"/>
      <c r="FL455" s="1230"/>
      <c r="FM455" s="1230"/>
      <c r="FN455" s="1230"/>
      <c r="FO455" s="1230"/>
      <c r="FP455" s="1230"/>
      <c r="FQ455" s="1230"/>
      <c r="FR455" s="1230"/>
      <c r="FS455" s="1230"/>
      <c r="FT455" s="1230"/>
      <c r="FU455" s="1230"/>
      <c r="FV455" s="1230"/>
      <c r="FW455" s="1230"/>
      <c r="FX455" s="1231"/>
      <c r="FY455" s="1231"/>
      <c r="FZ455" s="1152"/>
      <c r="GA455" s="1153"/>
    </row>
    <row r="456" spans="158:183" x14ac:dyDescent="0.35">
      <c r="FB456" s="1230"/>
      <c r="FC456" s="1230"/>
      <c r="FD456" s="1230"/>
      <c r="FE456" s="1230"/>
      <c r="FF456" s="1230"/>
      <c r="FG456" s="1230"/>
      <c r="FH456" s="1230"/>
      <c r="FI456" s="1230"/>
      <c r="FJ456" s="1230"/>
      <c r="FK456" s="1230"/>
      <c r="FL456" s="1230"/>
      <c r="FM456" s="1230"/>
      <c r="FN456" s="1230"/>
      <c r="FO456" s="1230"/>
      <c r="FP456" s="1230"/>
      <c r="FQ456" s="1230"/>
      <c r="FR456" s="1230"/>
      <c r="FS456" s="1230"/>
      <c r="FT456" s="1230"/>
      <c r="FU456" s="1230"/>
      <c r="FV456" s="1230"/>
      <c r="FW456" s="1230"/>
      <c r="FX456" s="1231"/>
      <c r="FY456" s="1231"/>
      <c r="FZ456" s="1152"/>
      <c r="GA456" s="1153"/>
    </row>
    <row r="457" spans="158:183" x14ac:dyDescent="0.35">
      <c r="FB457" s="1230"/>
      <c r="FC457" s="1230"/>
      <c r="FD457" s="1230"/>
      <c r="FE457" s="1230"/>
      <c r="FF457" s="1230"/>
      <c r="FG457" s="1230"/>
      <c r="FH457" s="1230"/>
      <c r="FI457" s="1230"/>
      <c r="FJ457" s="1230"/>
      <c r="FK457" s="1230"/>
      <c r="FL457" s="1230"/>
      <c r="FM457" s="1230"/>
      <c r="FN457" s="1230"/>
      <c r="FO457" s="1230"/>
      <c r="FP457" s="1230"/>
      <c r="FQ457" s="1230"/>
      <c r="FR457" s="1230"/>
      <c r="FS457" s="1230"/>
      <c r="FT457" s="1230"/>
      <c r="FU457" s="1230"/>
      <c r="FV457" s="1230"/>
      <c r="FW457" s="1230"/>
      <c r="FX457" s="1231"/>
      <c r="FY457" s="1231"/>
      <c r="FZ457" s="1152"/>
      <c r="GA457" s="1153"/>
    </row>
    <row r="458" spans="158:183" x14ac:dyDescent="0.35">
      <c r="FB458" s="1230"/>
      <c r="FC458" s="1230"/>
      <c r="FD458" s="1230"/>
      <c r="FE458" s="1230"/>
      <c r="FF458" s="1230"/>
      <c r="FG458" s="1230"/>
      <c r="FH458" s="1230"/>
      <c r="FI458" s="1230"/>
      <c r="FJ458" s="1230"/>
      <c r="FK458" s="1230"/>
      <c r="FL458" s="1230"/>
      <c r="FM458" s="1230"/>
      <c r="FN458" s="1230"/>
      <c r="FO458" s="1230"/>
      <c r="FP458" s="1230"/>
      <c r="FQ458" s="1230"/>
      <c r="FR458" s="1230"/>
      <c r="FS458" s="1230"/>
      <c r="FT458" s="1230"/>
      <c r="FU458" s="1230"/>
      <c r="FV458" s="1230"/>
      <c r="FW458" s="1230"/>
      <c r="FX458" s="1231"/>
      <c r="FY458" s="1231"/>
      <c r="FZ458" s="1152"/>
      <c r="GA458" s="1153"/>
    </row>
    <row r="459" spans="158:183" x14ac:dyDescent="0.35">
      <c r="FB459" s="1230"/>
      <c r="FC459" s="1230"/>
      <c r="FD459" s="1230"/>
      <c r="FE459" s="1230"/>
      <c r="FF459" s="1230"/>
      <c r="FG459" s="1230"/>
      <c r="FH459" s="1230"/>
      <c r="FI459" s="1230"/>
      <c r="FJ459" s="1230"/>
      <c r="FK459" s="1230"/>
      <c r="FL459" s="1230"/>
      <c r="FM459" s="1230"/>
      <c r="FN459" s="1230"/>
      <c r="FO459" s="1230"/>
      <c r="FP459" s="1230"/>
      <c r="FQ459" s="1230"/>
      <c r="FR459" s="1230"/>
      <c r="FS459" s="1230"/>
      <c r="FT459" s="1230"/>
      <c r="FU459" s="1230"/>
      <c r="FV459" s="1230"/>
      <c r="FW459" s="1230"/>
      <c r="FX459" s="1231"/>
      <c r="FY459" s="1231"/>
      <c r="FZ459" s="1152"/>
      <c r="GA459" s="1153"/>
    </row>
    <row r="460" spans="158:183" x14ac:dyDescent="0.35">
      <c r="FB460" s="1230"/>
      <c r="FC460" s="1230"/>
      <c r="FD460" s="1230"/>
      <c r="FE460" s="1230"/>
      <c r="FF460" s="1230"/>
      <c r="FG460" s="1230"/>
      <c r="FH460" s="1230"/>
      <c r="FI460" s="1230"/>
      <c r="FJ460" s="1230"/>
      <c r="FK460" s="1230"/>
      <c r="FL460" s="1230"/>
      <c r="FM460" s="1230"/>
      <c r="FN460" s="1230"/>
      <c r="FO460" s="1230"/>
      <c r="FP460" s="1230"/>
      <c r="FQ460" s="1230"/>
      <c r="FR460" s="1230"/>
      <c r="FS460" s="1230"/>
      <c r="FT460" s="1230"/>
      <c r="FU460" s="1230"/>
      <c r="FV460" s="1230"/>
      <c r="FW460" s="1230"/>
      <c r="FX460" s="1231"/>
      <c r="FY460" s="1231"/>
      <c r="FZ460" s="1152"/>
      <c r="GA460" s="1153"/>
    </row>
    <row r="461" spans="158:183" x14ac:dyDescent="0.35">
      <c r="FB461" s="1230"/>
      <c r="FC461" s="1230"/>
      <c r="FD461" s="1230"/>
      <c r="FE461" s="1230"/>
      <c r="FF461" s="1230"/>
      <c r="FG461" s="1230"/>
      <c r="FH461" s="1230"/>
      <c r="FI461" s="1230"/>
      <c r="FJ461" s="1230"/>
      <c r="FK461" s="1230"/>
      <c r="FL461" s="1230"/>
      <c r="FM461" s="1230"/>
      <c r="FN461" s="1230"/>
      <c r="FO461" s="1230"/>
      <c r="FP461" s="1230"/>
      <c r="FQ461" s="1230"/>
      <c r="FR461" s="1230"/>
      <c r="FS461" s="1230"/>
      <c r="FT461" s="1230"/>
      <c r="FU461" s="1230"/>
      <c r="FV461" s="1230"/>
      <c r="FW461" s="1230"/>
      <c r="FX461" s="1231"/>
      <c r="FY461" s="1231"/>
      <c r="FZ461" s="1152"/>
      <c r="GA461" s="1153"/>
    </row>
    <row r="462" spans="158:183" x14ac:dyDescent="0.35">
      <c r="FB462" s="1230"/>
      <c r="FC462" s="1230"/>
      <c r="FD462" s="1230"/>
      <c r="FE462" s="1230"/>
      <c r="FF462" s="1230"/>
      <c r="FG462" s="1230"/>
      <c r="FH462" s="1230"/>
      <c r="FI462" s="1230"/>
      <c r="FJ462" s="1230"/>
      <c r="FK462" s="1230"/>
      <c r="FL462" s="1230"/>
      <c r="FM462" s="1230"/>
      <c r="FN462" s="1230"/>
      <c r="FO462" s="1230"/>
      <c r="FP462" s="1230"/>
      <c r="FQ462" s="1230"/>
      <c r="FR462" s="1230"/>
      <c r="FS462" s="1230"/>
      <c r="FT462" s="1230"/>
      <c r="FU462" s="1230"/>
      <c r="FV462" s="1230"/>
      <c r="FW462" s="1230"/>
      <c r="FX462" s="1231"/>
      <c r="FY462" s="1231"/>
      <c r="FZ462" s="1152"/>
      <c r="GA462" s="1153"/>
    </row>
    <row r="463" spans="158:183" x14ac:dyDescent="0.35">
      <c r="FB463" s="1230"/>
      <c r="FC463" s="1230"/>
      <c r="FD463" s="1230"/>
      <c r="FE463" s="1230"/>
      <c r="FF463" s="1230"/>
      <c r="FG463" s="1230"/>
      <c r="FH463" s="1230"/>
      <c r="FI463" s="1230"/>
      <c r="FJ463" s="1230"/>
      <c r="FK463" s="1230"/>
      <c r="FL463" s="1230"/>
      <c r="FM463" s="1230"/>
      <c r="FN463" s="1230"/>
      <c r="FO463" s="1230"/>
      <c r="FP463" s="1230"/>
      <c r="FQ463" s="1230"/>
      <c r="FR463" s="1230"/>
      <c r="FS463" s="1230"/>
      <c r="FT463" s="1230"/>
      <c r="FU463" s="1230"/>
      <c r="FV463" s="1230"/>
      <c r="FW463" s="1230"/>
      <c r="FX463" s="1231"/>
      <c r="FY463" s="1231"/>
      <c r="FZ463" s="1152"/>
      <c r="GA463" s="1153"/>
    </row>
    <row r="464" spans="158:183" x14ac:dyDescent="0.35">
      <c r="FB464" s="1230"/>
      <c r="FC464" s="1230"/>
      <c r="FD464" s="1230"/>
      <c r="FE464" s="1230"/>
      <c r="FF464" s="1230"/>
      <c r="FG464" s="1230"/>
      <c r="FH464" s="1230"/>
      <c r="FI464" s="1230"/>
      <c r="FJ464" s="1230"/>
      <c r="FK464" s="1230"/>
      <c r="FL464" s="1230"/>
      <c r="FM464" s="1230"/>
      <c r="FN464" s="1230"/>
      <c r="FO464" s="1230"/>
      <c r="FP464" s="1230"/>
      <c r="FQ464" s="1230"/>
      <c r="FR464" s="1230"/>
      <c r="FS464" s="1230"/>
      <c r="FT464" s="1230"/>
      <c r="FU464" s="1230"/>
      <c r="FV464" s="1230"/>
      <c r="FW464" s="1230"/>
      <c r="FX464" s="1231"/>
      <c r="FY464" s="1231"/>
      <c r="FZ464" s="1152"/>
      <c r="GA464" s="1153"/>
    </row>
    <row r="465" spans="158:183" x14ac:dyDescent="0.35">
      <c r="FB465" s="1230"/>
      <c r="FC465" s="1230"/>
      <c r="FD465" s="1230"/>
      <c r="FE465" s="1230"/>
      <c r="FF465" s="1230"/>
      <c r="FG465" s="1230"/>
      <c r="FH465" s="1230"/>
      <c r="FI465" s="1230"/>
      <c r="FJ465" s="1230"/>
      <c r="FK465" s="1230"/>
      <c r="FL465" s="1230"/>
      <c r="FM465" s="1230"/>
      <c r="FN465" s="1230"/>
      <c r="FO465" s="1230"/>
      <c r="FP465" s="1230"/>
      <c r="FQ465" s="1230"/>
      <c r="FR465" s="1230"/>
      <c r="FS465" s="1230"/>
      <c r="FT465" s="1230"/>
      <c r="FU465" s="1230"/>
      <c r="FV465" s="1230"/>
      <c r="FW465" s="1230"/>
      <c r="FX465" s="1231"/>
      <c r="FY465" s="1231"/>
      <c r="FZ465" s="1152"/>
      <c r="GA465" s="1153"/>
    </row>
    <row r="466" spans="158:183" x14ac:dyDescent="0.35">
      <c r="FB466" s="1230"/>
      <c r="FC466" s="1230"/>
      <c r="FD466" s="1230"/>
      <c r="FE466" s="1230"/>
      <c r="FF466" s="1230"/>
      <c r="FG466" s="1230"/>
      <c r="FH466" s="1230"/>
      <c r="FI466" s="1230"/>
      <c r="FJ466" s="1230"/>
      <c r="FK466" s="1230"/>
      <c r="FL466" s="1230"/>
      <c r="FM466" s="1230"/>
      <c r="FN466" s="1230"/>
      <c r="FO466" s="1230"/>
      <c r="FP466" s="1230"/>
      <c r="FQ466" s="1230"/>
      <c r="FR466" s="1230"/>
      <c r="FS466" s="1230"/>
      <c r="FT466" s="1230"/>
      <c r="FU466" s="1230"/>
      <c r="FV466" s="1230"/>
      <c r="FW466" s="1230"/>
      <c r="FX466" s="1231"/>
      <c r="FY466" s="1231"/>
      <c r="FZ466" s="1152"/>
      <c r="GA466" s="1153"/>
    </row>
    <row r="467" spans="158:183" x14ac:dyDescent="0.35">
      <c r="FB467" s="1230"/>
      <c r="FC467" s="1230"/>
      <c r="FD467" s="1230"/>
      <c r="FE467" s="1230"/>
      <c r="FF467" s="1230"/>
      <c r="FG467" s="1230"/>
      <c r="FH467" s="1230"/>
      <c r="FI467" s="1230"/>
      <c r="FJ467" s="1230"/>
      <c r="FK467" s="1230"/>
      <c r="FL467" s="1230"/>
      <c r="FM467" s="1230"/>
      <c r="FN467" s="1230"/>
      <c r="FO467" s="1230"/>
      <c r="FP467" s="1230"/>
      <c r="FQ467" s="1230"/>
      <c r="FR467" s="1230"/>
      <c r="FS467" s="1230"/>
      <c r="FT467" s="1230"/>
      <c r="FU467" s="1230"/>
      <c r="FV467" s="1230"/>
      <c r="FW467" s="1230"/>
      <c r="FX467" s="1231"/>
      <c r="FY467" s="1231"/>
      <c r="FZ467" s="1152"/>
      <c r="GA467" s="1153"/>
    </row>
    <row r="468" spans="158:183" x14ac:dyDescent="0.35">
      <c r="FB468" s="1230"/>
      <c r="FC468" s="1230"/>
      <c r="FD468" s="1230"/>
      <c r="FE468" s="1230"/>
      <c r="FF468" s="1230"/>
      <c r="FG468" s="1230"/>
      <c r="FH468" s="1230"/>
      <c r="FI468" s="1230"/>
      <c r="FJ468" s="1230"/>
      <c r="FK468" s="1230"/>
      <c r="FL468" s="1230"/>
      <c r="FM468" s="1230"/>
      <c r="FN468" s="1230"/>
      <c r="FO468" s="1230"/>
      <c r="FP468" s="1230"/>
      <c r="FQ468" s="1230"/>
      <c r="FR468" s="1230"/>
      <c r="FS468" s="1230"/>
      <c r="FT468" s="1230"/>
      <c r="FU468" s="1230"/>
      <c r="FV468" s="1230"/>
      <c r="FW468" s="1230"/>
      <c r="FX468" s="1231"/>
      <c r="FY468" s="1231"/>
      <c r="FZ468" s="1152"/>
      <c r="GA468" s="1153"/>
    </row>
    <row r="469" spans="158:183" x14ac:dyDescent="0.35">
      <c r="FB469" s="1230"/>
      <c r="FC469" s="1230"/>
      <c r="FD469" s="1230"/>
      <c r="FE469" s="1230"/>
      <c r="FF469" s="1230"/>
      <c r="FG469" s="1230"/>
      <c r="FH469" s="1230"/>
      <c r="FI469" s="1230"/>
      <c r="FJ469" s="1230"/>
      <c r="FK469" s="1230"/>
      <c r="FL469" s="1230"/>
      <c r="FM469" s="1230"/>
      <c r="FN469" s="1230"/>
      <c r="FO469" s="1230"/>
      <c r="FP469" s="1230"/>
      <c r="FQ469" s="1230"/>
      <c r="FR469" s="1230"/>
      <c r="FS469" s="1230"/>
      <c r="FT469" s="1230"/>
      <c r="FU469" s="1230"/>
      <c r="FV469" s="1230"/>
      <c r="FW469" s="1230"/>
      <c r="FX469" s="1231"/>
      <c r="FY469" s="1231"/>
      <c r="FZ469" s="1152"/>
      <c r="GA469" s="1153"/>
    </row>
    <row r="470" spans="158:183" x14ac:dyDescent="0.35">
      <c r="FB470" s="1230"/>
      <c r="FC470" s="1230"/>
      <c r="FD470" s="1230"/>
      <c r="FE470" s="1230"/>
      <c r="FF470" s="1230"/>
      <c r="FG470" s="1230"/>
      <c r="FH470" s="1230"/>
      <c r="FI470" s="1230"/>
      <c r="FJ470" s="1230"/>
      <c r="FK470" s="1230"/>
      <c r="FL470" s="1230"/>
      <c r="FM470" s="1230"/>
      <c r="FN470" s="1230"/>
      <c r="FO470" s="1230"/>
      <c r="FP470" s="1230"/>
      <c r="FQ470" s="1230"/>
      <c r="FR470" s="1230"/>
      <c r="FS470" s="1230"/>
      <c r="FT470" s="1230"/>
      <c r="FU470" s="1230"/>
      <c r="FV470" s="1230"/>
      <c r="FW470" s="1230"/>
      <c r="FX470" s="1231"/>
      <c r="FY470" s="1231"/>
      <c r="FZ470" s="1152"/>
      <c r="GA470" s="1153"/>
    </row>
    <row r="471" spans="158:183" x14ac:dyDescent="0.35">
      <c r="FB471" s="1230"/>
      <c r="FC471" s="1230"/>
      <c r="FD471" s="1230"/>
      <c r="FE471" s="1230"/>
      <c r="FF471" s="1230"/>
      <c r="FG471" s="1230"/>
      <c r="FH471" s="1230"/>
      <c r="FI471" s="1230"/>
      <c r="FJ471" s="1230"/>
      <c r="FK471" s="1230"/>
      <c r="FL471" s="1230"/>
      <c r="FM471" s="1230"/>
      <c r="FN471" s="1230"/>
      <c r="FO471" s="1230"/>
      <c r="FP471" s="1230"/>
      <c r="FQ471" s="1230"/>
      <c r="FR471" s="1230"/>
      <c r="FS471" s="1230"/>
      <c r="FT471" s="1230"/>
      <c r="FU471" s="1230"/>
      <c r="FV471" s="1230"/>
      <c r="FW471" s="1230"/>
      <c r="FX471" s="1231"/>
      <c r="FY471" s="1231"/>
      <c r="FZ471" s="1152"/>
      <c r="GA471" s="1153"/>
    </row>
    <row r="472" spans="158:183" x14ac:dyDescent="0.35">
      <c r="FE472" s="1230"/>
      <c r="FF472" s="1230"/>
      <c r="FG472" s="1230"/>
    </row>
    <row r="473" spans="158:183" x14ac:dyDescent="0.35">
      <c r="FE473" s="1230"/>
      <c r="FF473" s="1230"/>
      <c r="FG473" s="1230"/>
    </row>
    <row r="474" spans="158:183" x14ac:dyDescent="0.35">
      <c r="FE474" s="1230"/>
      <c r="FF474" s="1230"/>
      <c r="FG474" s="1230"/>
    </row>
    <row r="475" spans="158:183" x14ac:dyDescent="0.35">
      <c r="FE475" s="1230"/>
      <c r="FF475" s="1230"/>
      <c r="FG475" s="1230"/>
    </row>
    <row r="476" spans="158:183" x14ac:dyDescent="0.35">
      <c r="FE476" s="1230"/>
      <c r="FF476" s="1230"/>
      <c r="FG476" s="1230"/>
    </row>
    <row r="477" spans="158:183" x14ac:dyDescent="0.35">
      <c r="FE477" s="1230"/>
      <c r="FF477" s="1230"/>
      <c r="FG477" s="1230"/>
    </row>
    <row r="478" spans="158:183" x14ac:dyDescent="0.35">
      <c r="FE478" s="1230"/>
      <c r="FF478" s="1230"/>
      <c r="FG478" s="1230"/>
    </row>
    <row r="479" spans="158:183" x14ac:dyDescent="0.35">
      <c r="FE479" s="1230"/>
      <c r="FF479" s="1230"/>
      <c r="FG479" s="1230"/>
    </row>
    <row r="480" spans="158:183" x14ac:dyDescent="0.35">
      <c r="FE480" s="1230"/>
      <c r="FF480" s="1230"/>
      <c r="FG480" s="1230"/>
    </row>
    <row r="481" spans="161:163" x14ac:dyDescent="0.35">
      <c r="FE481" s="1230"/>
      <c r="FF481" s="1230"/>
      <c r="FG481" s="1230"/>
    </row>
    <row r="482" spans="161:163" x14ac:dyDescent="0.35">
      <c r="FE482" s="1230"/>
      <c r="FF482" s="1230"/>
      <c r="FG482" s="1230"/>
    </row>
    <row r="483" spans="161:163" x14ac:dyDescent="0.35">
      <c r="FE483" s="1230"/>
      <c r="FF483" s="1230"/>
      <c r="FG483" s="1230"/>
    </row>
    <row r="484" spans="161:163" x14ac:dyDescent="0.35">
      <c r="FE484" s="1230"/>
      <c r="FF484" s="1230"/>
      <c r="FG484" s="1230"/>
    </row>
    <row r="485" spans="161:163" x14ac:dyDescent="0.35">
      <c r="FE485" s="1230"/>
      <c r="FF485" s="1230"/>
      <c r="FG485" s="1230"/>
    </row>
    <row r="486" spans="161:163" x14ac:dyDescent="0.35">
      <c r="FE486" s="1230"/>
      <c r="FF486" s="1230"/>
      <c r="FG486" s="1230"/>
    </row>
    <row r="487" spans="161:163" x14ac:dyDescent="0.35">
      <c r="FE487" s="1230"/>
      <c r="FF487" s="1230"/>
      <c r="FG487" s="1230"/>
    </row>
    <row r="488" spans="161:163" x14ac:dyDescent="0.35">
      <c r="FE488" s="1230"/>
      <c r="FF488" s="1230"/>
      <c r="FG488" s="1230"/>
    </row>
    <row r="489" spans="161:163" x14ac:dyDescent="0.35">
      <c r="FE489" s="1230"/>
      <c r="FF489" s="1230"/>
      <c r="FG489" s="1230"/>
    </row>
    <row r="490" spans="161:163" x14ac:dyDescent="0.35">
      <c r="FE490" s="1230"/>
      <c r="FF490" s="1230"/>
      <c r="FG490" s="1230"/>
    </row>
    <row r="491" spans="161:163" x14ac:dyDescent="0.35">
      <c r="FE491" s="1230"/>
      <c r="FF491" s="1230"/>
      <c r="FG491" s="1230"/>
    </row>
    <row r="492" spans="161:163" x14ac:dyDescent="0.35">
      <c r="FE492" s="1230"/>
      <c r="FF492" s="1230"/>
      <c r="FG492" s="1230"/>
    </row>
    <row r="493" spans="161:163" x14ac:dyDescent="0.35">
      <c r="FE493" s="1230"/>
      <c r="FF493" s="1230"/>
      <c r="FG493" s="1230"/>
    </row>
    <row r="494" spans="161:163" x14ac:dyDescent="0.35">
      <c r="FE494" s="1230"/>
      <c r="FF494" s="1230"/>
      <c r="FG494" s="1230"/>
    </row>
    <row r="495" spans="161:163" x14ac:dyDescent="0.35">
      <c r="FE495" s="1230"/>
      <c r="FF495" s="1230"/>
      <c r="FG495" s="1230"/>
    </row>
    <row r="496" spans="161:163" x14ac:dyDescent="0.35">
      <c r="FE496" s="1230"/>
      <c r="FF496" s="1230"/>
      <c r="FG496" s="1230"/>
    </row>
    <row r="497" spans="161:163" x14ac:dyDescent="0.35">
      <c r="FE497" s="1230"/>
      <c r="FF497" s="1230"/>
      <c r="FG497" s="1230"/>
    </row>
    <row r="498" spans="161:163" x14ac:dyDescent="0.35">
      <c r="FE498" s="1230"/>
      <c r="FF498" s="1230"/>
      <c r="FG498" s="1230"/>
    </row>
    <row r="499" spans="161:163" x14ac:dyDescent="0.35">
      <c r="FE499" s="1230"/>
      <c r="FF499" s="1230"/>
      <c r="FG499" s="1230"/>
    </row>
    <row r="500" spans="161:163" x14ac:dyDescent="0.35">
      <c r="FE500" s="1230"/>
      <c r="FF500" s="1230"/>
      <c r="FG500" s="1230"/>
    </row>
    <row r="501" spans="161:163" x14ac:dyDescent="0.35">
      <c r="FE501" s="1230"/>
      <c r="FF501" s="1230"/>
      <c r="FG501" s="1230"/>
    </row>
    <row r="502" spans="161:163" x14ac:dyDescent="0.35">
      <c r="FE502" s="1230"/>
      <c r="FF502" s="1230"/>
      <c r="FG502" s="1230"/>
    </row>
    <row r="503" spans="161:163" x14ac:dyDescent="0.35">
      <c r="FE503" s="1230"/>
      <c r="FF503" s="1230"/>
      <c r="FG503" s="1230"/>
    </row>
    <row r="504" spans="161:163" x14ac:dyDescent="0.35">
      <c r="FE504" s="1230"/>
      <c r="FF504" s="1230"/>
      <c r="FG504" s="1230"/>
    </row>
    <row r="505" spans="161:163" x14ac:dyDescent="0.35">
      <c r="FE505" s="1230"/>
      <c r="FF505" s="1230"/>
      <c r="FG505" s="1230"/>
    </row>
    <row r="506" spans="161:163" x14ac:dyDescent="0.35">
      <c r="FE506" s="1230"/>
      <c r="FF506" s="1230"/>
      <c r="FG506" s="1230"/>
    </row>
    <row r="507" spans="161:163" x14ac:dyDescent="0.35">
      <c r="FE507" s="1230"/>
      <c r="FF507" s="1230"/>
      <c r="FG507" s="1230"/>
    </row>
    <row r="508" spans="161:163" x14ac:dyDescent="0.35">
      <c r="FE508" s="1230"/>
      <c r="FF508" s="1230"/>
      <c r="FG508" s="1230"/>
    </row>
    <row r="509" spans="161:163" x14ac:dyDescent="0.35">
      <c r="FE509" s="1230"/>
      <c r="FF509" s="1230"/>
      <c r="FG509" s="1230"/>
    </row>
    <row r="510" spans="161:163" x14ac:dyDescent="0.35">
      <c r="FE510" s="1230"/>
      <c r="FF510" s="1230"/>
      <c r="FG510" s="1230"/>
    </row>
    <row r="511" spans="161:163" x14ac:dyDescent="0.35">
      <c r="FE511" s="1230"/>
      <c r="FF511" s="1230"/>
      <c r="FG511" s="1230"/>
    </row>
    <row r="512" spans="161:163" x14ac:dyDescent="0.35">
      <c r="FE512" s="1230"/>
      <c r="FF512" s="1230"/>
      <c r="FG512" s="1230"/>
    </row>
    <row r="513" spans="161:163" x14ac:dyDescent="0.35">
      <c r="FE513" s="1230"/>
      <c r="FF513" s="1230"/>
      <c r="FG513" s="1230"/>
    </row>
    <row r="514" spans="161:163" x14ac:dyDescent="0.35">
      <c r="FE514" s="1230"/>
      <c r="FF514" s="1230"/>
      <c r="FG514" s="1230"/>
    </row>
    <row r="515" spans="161:163" x14ac:dyDescent="0.35">
      <c r="FE515" s="1230"/>
      <c r="FF515" s="1230"/>
      <c r="FG515" s="1230"/>
    </row>
    <row r="516" spans="161:163" x14ac:dyDescent="0.35">
      <c r="FE516" s="1230"/>
      <c r="FF516" s="1230"/>
      <c r="FG516" s="1230"/>
    </row>
    <row r="517" spans="161:163" x14ac:dyDescent="0.35">
      <c r="FE517" s="1230"/>
      <c r="FF517" s="1230"/>
      <c r="FG517" s="1230"/>
    </row>
    <row r="518" spans="161:163" x14ac:dyDescent="0.35">
      <c r="FE518" s="1230"/>
      <c r="FF518" s="1230"/>
      <c r="FG518" s="1230"/>
    </row>
    <row r="519" spans="161:163" x14ac:dyDescent="0.35">
      <c r="FE519" s="1230"/>
      <c r="FF519" s="1230"/>
      <c r="FG519" s="1230"/>
    </row>
    <row r="520" spans="161:163" x14ac:dyDescent="0.35">
      <c r="FE520" s="1230"/>
      <c r="FF520" s="1230"/>
      <c r="FG520" s="1230"/>
    </row>
    <row r="521" spans="161:163" x14ac:dyDescent="0.35">
      <c r="FE521" s="1230"/>
      <c r="FF521" s="1230"/>
      <c r="FG521" s="1230"/>
    </row>
    <row r="522" spans="161:163" x14ac:dyDescent="0.35">
      <c r="FE522" s="1230"/>
      <c r="FF522" s="1230"/>
      <c r="FG522" s="1230"/>
    </row>
    <row r="523" spans="161:163" x14ac:dyDescent="0.35">
      <c r="FE523" s="1230"/>
      <c r="FF523" s="1230"/>
      <c r="FG523" s="1230"/>
    </row>
    <row r="524" spans="161:163" x14ac:dyDescent="0.35">
      <c r="FE524" s="1230"/>
      <c r="FF524" s="1230"/>
      <c r="FG524" s="1230"/>
    </row>
    <row r="525" spans="161:163" x14ac:dyDescent="0.35">
      <c r="FE525" s="1230"/>
      <c r="FF525" s="1230"/>
      <c r="FG525" s="1230"/>
    </row>
    <row r="526" spans="161:163" x14ac:dyDescent="0.35">
      <c r="FE526" s="1230"/>
      <c r="FF526" s="1230"/>
      <c r="FG526" s="1230"/>
    </row>
    <row r="527" spans="161:163" x14ac:dyDescent="0.35">
      <c r="FE527" s="1230"/>
      <c r="FF527" s="1230"/>
      <c r="FG527" s="1230"/>
    </row>
    <row r="528" spans="161:163" x14ac:dyDescent="0.35">
      <c r="FE528" s="1230"/>
      <c r="FF528" s="1230"/>
      <c r="FG528" s="1230"/>
    </row>
    <row r="529" spans="161:163" x14ac:dyDescent="0.35">
      <c r="FE529" s="1230"/>
      <c r="FF529" s="1230"/>
      <c r="FG529" s="1230"/>
    </row>
    <row r="530" spans="161:163" x14ac:dyDescent="0.35">
      <c r="FE530" s="1230"/>
      <c r="FF530" s="1230"/>
      <c r="FG530" s="1230"/>
    </row>
    <row r="531" spans="161:163" x14ac:dyDescent="0.35">
      <c r="FE531" s="1230"/>
      <c r="FF531" s="1230"/>
      <c r="FG531" s="1230"/>
    </row>
    <row r="532" spans="161:163" x14ac:dyDescent="0.35">
      <c r="FE532" s="1230"/>
      <c r="FF532" s="1230"/>
      <c r="FG532" s="1230"/>
    </row>
    <row r="533" spans="161:163" x14ac:dyDescent="0.35">
      <c r="FE533" s="1230"/>
      <c r="FF533" s="1230"/>
      <c r="FG533" s="1230"/>
    </row>
    <row r="534" spans="161:163" x14ac:dyDescent="0.35">
      <c r="FE534" s="1230"/>
      <c r="FF534" s="1230"/>
      <c r="FG534" s="1230"/>
    </row>
    <row r="535" spans="161:163" x14ac:dyDescent="0.35">
      <c r="FE535" s="1230"/>
      <c r="FF535" s="1230"/>
      <c r="FG535" s="1230"/>
    </row>
    <row r="536" spans="161:163" x14ac:dyDescent="0.35">
      <c r="FE536" s="1230"/>
      <c r="FF536" s="1230"/>
      <c r="FG536" s="1230"/>
    </row>
    <row r="537" spans="161:163" x14ac:dyDescent="0.35">
      <c r="FE537" s="1230"/>
      <c r="FF537" s="1230"/>
      <c r="FG537" s="1230"/>
    </row>
    <row r="538" spans="161:163" x14ac:dyDescent="0.35">
      <c r="FE538" s="1230"/>
      <c r="FF538" s="1230"/>
      <c r="FG538" s="1230"/>
    </row>
    <row r="539" spans="161:163" x14ac:dyDescent="0.35">
      <c r="FE539" s="1230"/>
      <c r="FF539" s="1230"/>
      <c r="FG539" s="1230"/>
    </row>
    <row r="540" spans="161:163" x14ac:dyDescent="0.35">
      <c r="FE540" s="1230"/>
      <c r="FF540" s="1230"/>
      <c r="FG540" s="1230"/>
    </row>
    <row r="541" spans="161:163" x14ac:dyDescent="0.35">
      <c r="FE541" s="1230"/>
      <c r="FF541" s="1230"/>
      <c r="FG541" s="1230"/>
    </row>
    <row r="542" spans="161:163" x14ac:dyDescent="0.35">
      <c r="FE542" s="1230"/>
      <c r="FF542" s="1230"/>
      <c r="FG542" s="1230"/>
    </row>
    <row r="543" spans="161:163" x14ac:dyDescent="0.35">
      <c r="FE543" s="1230"/>
      <c r="FF543" s="1230"/>
      <c r="FG543" s="1230"/>
    </row>
    <row r="544" spans="161:163" x14ac:dyDescent="0.35">
      <c r="FE544" s="1230"/>
      <c r="FF544" s="1230"/>
      <c r="FG544" s="1230"/>
    </row>
    <row r="545" spans="161:163" x14ac:dyDescent="0.35">
      <c r="FE545" s="1230"/>
      <c r="FF545" s="1230"/>
      <c r="FG545" s="1230"/>
    </row>
    <row r="546" spans="161:163" x14ac:dyDescent="0.35">
      <c r="FE546" s="1230"/>
      <c r="FF546" s="1230"/>
      <c r="FG546" s="1230"/>
    </row>
    <row r="547" spans="161:163" x14ac:dyDescent="0.35">
      <c r="FE547" s="1230"/>
      <c r="FF547" s="1230"/>
      <c r="FG547" s="1230"/>
    </row>
    <row r="548" spans="161:163" x14ac:dyDescent="0.35">
      <c r="FE548" s="1230"/>
      <c r="FF548" s="1230"/>
      <c r="FG548" s="1230"/>
    </row>
    <row r="549" spans="161:163" x14ac:dyDescent="0.35">
      <c r="FE549" s="1230"/>
      <c r="FF549" s="1230"/>
      <c r="FG549" s="1230"/>
    </row>
    <row r="550" spans="161:163" x14ac:dyDescent="0.35">
      <c r="FE550" s="1230"/>
      <c r="FF550" s="1230"/>
      <c r="FG550" s="1230"/>
    </row>
    <row r="551" spans="161:163" x14ac:dyDescent="0.35">
      <c r="FE551" s="1230"/>
      <c r="FF551" s="1230"/>
      <c r="FG551" s="1230"/>
    </row>
    <row r="552" spans="161:163" x14ac:dyDescent="0.35">
      <c r="FE552" s="1230"/>
      <c r="FF552" s="1230"/>
      <c r="FG552" s="1230"/>
    </row>
    <row r="553" spans="161:163" x14ac:dyDescent="0.35">
      <c r="FE553" s="1230"/>
      <c r="FF553" s="1230"/>
      <c r="FG553" s="1230"/>
    </row>
    <row r="554" spans="161:163" x14ac:dyDescent="0.35">
      <c r="FE554" s="1230"/>
      <c r="FF554" s="1230"/>
      <c r="FG554" s="1230"/>
    </row>
    <row r="555" spans="161:163" x14ac:dyDescent="0.35">
      <c r="FE555" s="1230"/>
      <c r="FF555" s="1230"/>
      <c r="FG555" s="1230"/>
    </row>
    <row r="556" spans="161:163" x14ac:dyDescent="0.35">
      <c r="FE556" s="1230"/>
      <c r="FF556" s="1230"/>
      <c r="FG556" s="1230"/>
    </row>
    <row r="557" spans="161:163" x14ac:dyDescent="0.35">
      <c r="FE557" s="1230"/>
      <c r="FF557" s="1230"/>
      <c r="FG557" s="1230"/>
    </row>
    <row r="558" spans="161:163" x14ac:dyDescent="0.35">
      <c r="FE558" s="1230"/>
      <c r="FF558" s="1230"/>
      <c r="FG558" s="1230"/>
    </row>
    <row r="559" spans="161:163" x14ac:dyDescent="0.35">
      <c r="FE559" s="1230"/>
      <c r="FF559" s="1230"/>
      <c r="FG559" s="1230"/>
    </row>
    <row r="560" spans="161:163" x14ac:dyDescent="0.35">
      <c r="FE560" s="1230"/>
      <c r="FF560" s="1230"/>
      <c r="FG560" s="1230"/>
    </row>
    <row r="561" spans="161:163" x14ac:dyDescent="0.35">
      <c r="FE561" s="1230"/>
      <c r="FF561" s="1230"/>
      <c r="FG561" s="1230"/>
    </row>
    <row r="562" spans="161:163" x14ac:dyDescent="0.35">
      <c r="FE562" s="1230"/>
      <c r="FF562" s="1230"/>
      <c r="FG562" s="1230"/>
    </row>
    <row r="563" spans="161:163" x14ac:dyDescent="0.35">
      <c r="FE563" s="1230"/>
      <c r="FF563" s="1230"/>
      <c r="FG563" s="1230"/>
    </row>
    <row r="564" spans="161:163" x14ac:dyDescent="0.35">
      <c r="FE564" s="1230"/>
      <c r="FF564" s="1230"/>
      <c r="FG564" s="1230"/>
    </row>
    <row r="565" spans="161:163" x14ac:dyDescent="0.35">
      <c r="FE565" s="1230"/>
      <c r="FF565" s="1230"/>
      <c r="FG565" s="1230"/>
    </row>
    <row r="566" spans="161:163" x14ac:dyDescent="0.35">
      <c r="FE566" s="1230"/>
      <c r="FF566" s="1230"/>
      <c r="FG566" s="1230"/>
    </row>
    <row r="567" spans="161:163" x14ac:dyDescent="0.35">
      <c r="FE567" s="1230"/>
      <c r="FF567" s="1230"/>
      <c r="FG567" s="1230"/>
    </row>
    <row r="568" spans="161:163" x14ac:dyDescent="0.35">
      <c r="FE568" s="1230"/>
      <c r="FF568" s="1230"/>
      <c r="FG568" s="1230"/>
    </row>
    <row r="569" spans="161:163" x14ac:dyDescent="0.35">
      <c r="FE569" s="1230"/>
      <c r="FF569" s="1230"/>
      <c r="FG569" s="1230"/>
    </row>
    <row r="570" spans="161:163" x14ac:dyDescent="0.35">
      <c r="FE570" s="1230"/>
      <c r="FF570" s="1230"/>
      <c r="FG570" s="1230"/>
    </row>
    <row r="571" spans="161:163" x14ac:dyDescent="0.35">
      <c r="FE571" s="1230"/>
      <c r="FF571" s="1230"/>
      <c r="FG571" s="1230"/>
    </row>
    <row r="572" spans="161:163" x14ac:dyDescent="0.35">
      <c r="FE572" s="1230"/>
      <c r="FF572" s="1230"/>
      <c r="FG572" s="1230"/>
    </row>
    <row r="573" spans="161:163" x14ac:dyDescent="0.35">
      <c r="FE573" s="1230"/>
      <c r="FF573" s="1230"/>
      <c r="FG573" s="1230"/>
    </row>
    <row r="574" spans="161:163" x14ac:dyDescent="0.35">
      <c r="FE574" s="1230"/>
      <c r="FF574" s="1230"/>
      <c r="FG574" s="1230"/>
    </row>
    <row r="575" spans="161:163" x14ac:dyDescent="0.35">
      <c r="FE575" s="1230"/>
      <c r="FF575" s="1230"/>
      <c r="FG575" s="1230"/>
    </row>
    <row r="576" spans="161:163" x14ac:dyDescent="0.35">
      <c r="FE576" s="1230"/>
      <c r="FF576" s="1230"/>
      <c r="FG576" s="1230"/>
    </row>
    <row r="577" spans="161:163" x14ac:dyDescent="0.35">
      <c r="FE577" s="1230"/>
      <c r="FF577" s="1230"/>
      <c r="FG577" s="1230"/>
    </row>
    <row r="578" spans="161:163" x14ac:dyDescent="0.35">
      <c r="FE578" s="1230"/>
      <c r="FF578" s="1230"/>
      <c r="FG578" s="1230"/>
    </row>
    <row r="579" spans="161:163" x14ac:dyDescent="0.35">
      <c r="FE579" s="1230"/>
      <c r="FF579" s="1230"/>
      <c r="FG579" s="1230"/>
    </row>
    <row r="580" spans="161:163" x14ac:dyDescent="0.35">
      <c r="FE580" s="1230"/>
      <c r="FF580" s="1230"/>
      <c r="FG580" s="1230"/>
    </row>
    <row r="581" spans="161:163" x14ac:dyDescent="0.35">
      <c r="FE581" s="1230"/>
      <c r="FF581" s="1230"/>
      <c r="FG581" s="1230"/>
    </row>
    <row r="582" spans="161:163" x14ac:dyDescent="0.35">
      <c r="FE582" s="1230"/>
      <c r="FF582" s="1230"/>
      <c r="FG582" s="1230"/>
    </row>
    <row r="583" spans="161:163" x14ac:dyDescent="0.35">
      <c r="FE583" s="1230"/>
      <c r="FF583" s="1230"/>
      <c r="FG583" s="1230"/>
    </row>
    <row r="584" spans="161:163" x14ac:dyDescent="0.35">
      <c r="FE584" s="1230"/>
      <c r="FF584" s="1230"/>
      <c r="FG584" s="1230"/>
    </row>
    <row r="585" spans="161:163" x14ac:dyDescent="0.35">
      <c r="FE585" s="1230"/>
      <c r="FF585" s="1230"/>
      <c r="FG585" s="1230"/>
    </row>
    <row r="586" spans="161:163" x14ac:dyDescent="0.35">
      <c r="FE586" s="1230"/>
      <c r="FF586" s="1230"/>
      <c r="FG586" s="1230"/>
    </row>
    <row r="587" spans="161:163" x14ac:dyDescent="0.35">
      <c r="FE587" s="1230"/>
      <c r="FF587" s="1230"/>
      <c r="FG587" s="1230"/>
    </row>
    <row r="588" spans="161:163" x14ac:dyDescent="0.35">
      <c r="FE588" s="1230"/>
    </row>
    <row r="589" spans="161:163" x14ac:dyDescent="0.35">
      <c r="FE589" s="1230"/>
    </row>
    <row r="590" spans="161:163" x14ac:dyDescent="0.35">
      <c r="FE590" s="1230"/>
    </row>
    <row r="591" spans="161:163" x14ac:dyDescent="0.35">
      <c r="FE591" s="1230"/>
    </row>
    <row r="592" spans="161:163" x14ac:dyDescent="0.35">
      <c r="FE592" s="1230"/>
    </row>
    <row r="593" spans="161:161" x14ac:dyDescent="0.35">
      <c r="FE593" s="1230"/>
    </row>
    <row r="594" spans="161:161" x14ac:dyDescent="0.35">
      <c r="FE594" s="1230"/>
    </row>
    <row r="595" spans="161:161" x14ac:dyDescent="0.35">
      <c r="FE595" s="1230"/>
    </row>
    <row r="596" spans="161:161" x14ac:dyDescent="0.35">
      <c r="FE596" s="1230"/>
    </row>
    <row r="597" spans="161:161" x14ac:dyDescent="0.35">
      <c r="FE597" s="1230"/>
    </row>
    <row r="598" spans="161:161" x14ac:dyDescent="0.35">
      <c r="FE598" s="1230"/>
    </row>
  </sheetData>
  <sheetProtection insertColumns="0" insertRows="0" insertHyperlinks="0" sort="0" autoFilter="0" pivotTables="0"/>
  <mergeCells count="100">
    <mergeCell ref="C41:D41"/>
    <mergeCell ref="C42:D42"/>
    <mergeCell ref="C44:D44"/>
    <mergeCell ref="C46:D46"/>
    <mergeCell ref="C47:D47"/>
    <mergeCell ref="A1:S7"/>
    <mergeCell ref="G58:I58"/>
    <mergeCell ref="G56:K56"/>
    <mergeCell ref="G57:I57"/>
    <mergeCell ref="A52:B52"/>
    <mergeCell ref="A53:B53"/>
    <mergeCell ref="A50:B50"/>
    <mergeCell ref="G24:K24"/>
    <mergeCell ref="I25:I26"/>
    <mergeCell ref="J25:J26"/>
    <mergeCell ref="K25:K26"/>
    <mergeCell ref="H25:H26"/>
    <mergeCell ref="G25:G26"/>
    <mergeCell ref="A8:K8"/>
    <mergeCell ref="A11:E11"/>
    <mergeCell ref="A16:E16"/>
    <mergeCell ref="A73:B73"/>
    <mergeCell ref="A58:B58"/>
    <mergeCell ref="A61:B61"/>
    <mergeCell ref="A54:B54"/>
    <mergeCell ref="A55:B55"/>
    <mergeCell ref="A56:B56"/>
    <mergeCell ref="A59:B59"/>
    <mergeCell ref="A62:B62"/>
    <mergeCell ref="C10:D10"/>
    <mergeCell ref="C12:D12"/>
    <mergeCell ref="C13:D13"/>
    <mergeCell ref="G59:K65"/>
    <mergeCell ref="A39:B39"/>
    <mergeCell ref="A30:E30"/>
    <mergeCell ref="A23:E23"/>
    <mergeCell ref="A44:B44"/>
    <mergeCell ref="A45:B45"/>
    <mergeCell ref="A40:E40"/>
    <mergeCell ref="A38:B38"/>
    <mergeCell ref="A47:B47"/>
    <mergeCell ref="A41:B41"/>
    <mergeCell ref="A42:B42"/>
    <mergeCell ref="A46:B46"/>
    <mergeCell ref="A48:B48"/>
    <mergeCell ref="G19:I19"/>
    <mergeCell ref="G23:I23"/>
    <mergeCell ref="G10:I10"/>
    <mergeCell ref="G18:K18"/>
    <mergeCell ref="G14:K14"/>
    <mergeCell ref="G16:K16"/>
    <mergeCell ref="G11:K11"/>
    <mergeCell ref="G22:K22"/>
    <mergeCell ref="G12:I12"/>
    <mergeCell ref="G13:I13"/>
    <mergeCell ref="G15:I15"/>
    <mergeCell ref="G17:I17"/>
    <mergeCell ref="G20:K20"/>
    <mergeCell ref="G21:I21"/>
    <mergeCell ref="C14:D14"/>
    <mergeCell ref="C15:D15"/>
    <mergeCell ref="C17:D17"/>
    <mergeCell ref="C18:D18"/>
    <mergeCell ref="C19:D19"/>
    <mergeCell ref="C20:D20"/>
    <mergeCell ref="C21:D21"/>
    <mergeCell ref="C22:D22"/>
    <mergeCell ref="C24:D24"/>
    <mergeCell ref="C25:D25"/>
    <mergeCell ref="C26:D26"/>
    <mergeCell ref="C27:D27"/>
    <mergeCell ref="C28:D28"/>
    <mergeCell ref="C29:D29"/>
    <mergeCell ref="C31:D31"/>
    <mergeCell ref="C38:D38"/>
    <mergeCell ref="C39:D39"/>
    <mergeCell ref="C32:D32"/>
    <mergeCell ref="C33:D33"/>
    <mergeCell ref="C34:D34"/>
    <mergeCell ref="C35:D35"/>
    <mergeCell ref="C36:D36"/>
    <mergeCell ref="A37:E37"/>
    <mergeCell ref="A43:B43"/>
    <mergeCell ref="C43:D43"/>
    <mergeCell ref="C45:D45"/>
    <mergeCell ref="C56:D56"/>
    <mergeCell ref="C59:D59"/>
    <mergeCell ref="C48:D48"/>
    <mergeCell ref="C51:D51"/>
    <mergeCell ref="C52:D52"/>
    <mergeCell ref="C53:D53"/>
    <mergeCell ref="C54:D54"/>
    <mergeCell ref="C55:D55"/>
    <mergeCell ref="C62:D62"/>
    <mergeCell ref="A49:B49"/>
    <mergeCell ref="A51:B51"/>
    <mergeCell ref="C58:D58"/>
    <mergeCell ref="C61:D61"/>
    <mergeCell ref="C49:D49"/>
    <mergeCell ref="C50:D50"/>
  </mergeCells>
  <printOptions horizontalCentered="1"/>
  <pageMargins left="0" right="0" top="0" bottom="0" header="0" footer="0"/>
  <pageSetup paperSize="9" scale="24" orientation="landscape" r:id="rId1"/>
  <headerFooter alignWithMargins="0">
    <oddFooter>&amp;R&amp;26Стр. &amp;P из  &amp;N
&amp;A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H683"/>
  <sheetViews>
    <sheetView showRuler="0" zoomScale="110" zoomScaleNormal="110" zoomScaleSheetLayoutView="90" zoomScalePageLayoutView="40" workbookViewId="0">
      <selection sqref="A1:C2"/>
    </sheetView>
  </sheetViews>
  <sheetFormatPr defaultRowHeight="18" x14ac:dyDescent="0.25"/>
  <cols>
    <col min="1" max="1" width="55.85546875" style="1153" customWidth="1"/>
    <col min="2" max="2" width="18" style="1153" customWidth="1"/>
    <col min="3" max="3" width="14.5703125" style="1153" customWidth="1"/>
    <col min="4" max="4" width="16" style="1153" customWidth="1"/>
    <col min="5" max="5" width="14.140625" style="1153" customWidth="1"/>
    <col min="6" max="7" width="7.7109375" style="1153" customWidth="1"/>
    <col min="8" max="8" width="1.42578125" style="1153" customWidth="1"/>
    <col min="9" max="14" width="8.28515625" style="1153" customWidth="1"/>
    <col min="15" max="17" width="9.140625" style="1153" customWidth="1"/>
    <col min="18" max="18" width="11.42578125" style="1153" customWidth="1"/>
    <col min="19" max="143" width="9.140625" style="1153" customWidth="1"/>
    <col min="144" max="153" width="9.140625" style="1491" customWidth="1"/>
    <col min="154" max="155" width="9.140625" style="1492" customWidth="1"/>
    <col min="156" max="157" width="9.140625" style="1487" customWidth="1"/>
    <col min="158" max="158" width="9.140625" style="1151" customWidth="1"/>
    <col min="159" max="159" width="7.7109375" style="1151" customWidth="1"/>
    <col min="160" max="160" width="16.42578125" style="1151" customWidth="1"/>
    <col min="161" max="161" width="7.7109375" style="1151" customWidth="1"/>
    <col min="162" max="162" width="9" style="1151" customWidth="1"/>
    <col min="163" max="173" width="9.140625" style="1151" customWidth="1"/>
    <col min="174" max="174" width="28.140625" style="1151" customWidth="1"/>
    <col min="175" max="175" width="9.140625" style="1151" customWidth="1"/>
    <col min="176" max="176" width="10.28515625" style="1151" customWidth="1"/>
    <col min="177" max="177" width="24.42578125" style="1151" customWidth="1"/>
    <col min="178" max="178" width="28.140625" style="1151" customWidth="1"/>
    <col min="179" max="179" width="25.5703125" style="1151" customWidth="1"/>
    <col min="180" max="180" width="32.7109375" style="1151" customWidth="1"/>
    <col min="181" max="181" width="13.85546875" style="1488" customWidth="1"/>
    <col min="182" max="183" width="9.140625" style="1488" customWidth="1"/>
    <col min="184" max="185" width="9.140625" style="1491" customWidth="1"/>
    <col min="186" max="190" width="9.140625" style="1491"/>
    <col min="191" max="16384" width="9.140625" style="1153"/>
  </cols>
  <sheetData>
    <row r="1" spans="1:190" s="1050" customFormat="1" ht="27" x14ac:dyDescent="0.35">
      <c r="A1" s="3382"/>
      <c r="B1" s="3382"/>
      <c r="C1" s="3382"/>
      <c r="D1" s="3382"/>
      <c r="E1" s="3382"/>
      <c r="F1" s="3382"/>
      <c r="G1" s="3382"/>
      <c r="EN1" s="1464"/>
      <c r="EO1" s="1464"/>
      <c r="EP1" s="1464"/>
      <c r="EQ1" s="1464"/>
      <c r="ER1" s="1464"/>
      <c r="ES1" s="1464"/>
      <c r="ET1" s="1464"/>
      <c r="EU1" s="1464"/>
      <c r="EV1" s="1464"/>
      <c r="EW1" s="1464"/>
      <c r="EX1" s="1465"/>
      <c r="EY1" s="1465"/>
      <c r="EZ1" s="1466"/>
      <c r="FA1" s="1466"/>
      <c r="FB1" s="1052"/>
      <c r="FC1" s="1052"/>
      <c r="FD1" s="1052"/>
      <c r="FE1" s="1052"/>
      <c r="FF1" s="1052"/>
      <c r="FG1" s="1052"/>
      <c r="FH1" s="1052"/>
      <c r="FI1" s="1052"/>
      <c r="FJ1" s="1052"/>
      <c r="FK1" s="1052"/>
      <c r="FL1" s="1052"/>
      <c r="FM1" s="1052"/>
      <c r="FN1" s="1052"/>
      <c r="FO1" s="1052"/>
      <c r="FP1" s="1052"/>
      <c r="FQ1" s="1052"/>
      <c r="FR1" s="1052"/>
      <c r="FS1" s="1052"/>
      <c r="FT1" s="1052"/>
      <c r="FU1" s="1052"/>
      <c r="FV1" s="1052"/>
      <c r="FW1" s="1052"/>
      <c r="FX1" s="1052"/>
      <c r="FY1" s="1467"/>
      <c r="FZ1" s="1467"/>
      <c r="GA1" s="1467"/>
      <c r="GB1" s="1464"/>
      <c r="GC1" s="1464"/>
      <c r="GD1" s="1464"/>
      <c r="GE1" s="1464"/>
      <c r="GF1" s="1464"/>
      <c r="GG1" s="1464"/>
      <c r="GH1" s="1464"/>
    </row>
    <row r="2" spans="1:190" s="1050" customFormat="1" ht="28.5" customHeight="1" thickBot="1" x14ac:dyDescent="0.4">
      <c r="A2" s="3382"/>
      <c r="B2" s="3382"/>
      <c r="C2" s="3382"/>
      <c r="D2" s="3382"/>
      <c r="E2" s="3382"/>
      <c r="F2" s="3382"/>
      <c r="G2" s="3382"/>
      <c r="EN2" s="1464"/>
      <c r="EO2" s="1464"/>
      <c r="EP2" s="1464"/>
      <c r="EQ2" s="1464"/>
      <c r="ER2" s="1464"/>
      <c r="ES2" s="1464"/>
      <c r="ET2" s="1464"/>
      <c r="EU2" s="1464"/>
      <c r="EV2" s="1464"/>
      <c r="EW2" s="1464"/>
      <c r="EX2" s="1465"/>
      <c r="EY2" s="1465"/>
      <c r="EZ2" s="1466"/>
      <c r="FA2" s="1466"/>
      <c r="FB2" s="1052"/>
      <c r="FC2" s="1052"/>
      <c r="FD2" s="1052"/>
      <c r="FE2" s="1052"/>
      <c r="FF2" s="1052"/>
      <c r="FG2" s="1052"/>
      <c r="FH2" s="1052"/>
      <c r="FI2" s="1052"/>
      <c r="FJ2" s="1052"/>
      <c r="FK2" s="1052"/>
      <c r="FL2" s="1052"/>
      <c r="FM2" s="1052"/>
      <c r="FN2" s="1052"/>
      <c r="FO2" s="1052"/>
      <c r="FP2" s="1052"/>
      <c r="FQ2" s="1052"/>
      <c r="FR2" s="1052"/>
      <c r="FS2" s="1052"/>
      <c r="FT2" s="1052"/>
      <c r="FU2" s="1052"/>
      <c r="FV2" s="1052"/>
      <c r="FW2" s="1052"/>
      <c r="FX2" s="1052"/>
      <c r="FY2" s="1467"/>
      <c r="FZ2" s="1467"/>
      <c r="GA2" s="1467"/>
      <c r="GB2" s="1464"/>
      <c r="GC2" s="1464"/>
      <c r="GD2" s="1464"/>
      <c r="GE2" s="1464"/>
      <c r="GF2" s="1464"/>
      <c r="GG2" s="1464"/>
      <c r="GH2" s="1464"/>
    </row>
    <row r="3" spans="1:190" s="1050" customFormat="1" ht="15" customHeight="1" x14ac:dyDescent="0.35">
      <c r="A3" s="3383" t="s">
        <v>2015</v>
      </c>
      <c r="B3" s="3383"/>
      <c r="C3" s="3383"/>
      <c r="D3" s="3383"/>
      <c r="E3" s="3383"/>
      <c r="F3" s="3383"/>
      <c r="G3" s="3383"/>
      <c r="EN3" s="1464"/>
      <c r="EO3" s="1464"/>
      <c r="EP3" s="1464"/>
      <c r="EQ3" s="1464"/>
      <c r="ER3" s="1464"/>
      <c r="ES3" s="1464"/>
      <c r="ET3" s="1464"/>
      <c r="EU3" s="1464"/>
      <c r="EV3" s="1464"/>
      <c r="EW3" s="1464"/>
      <c r="EX3" s="1465"/>
      <c r="EY3" s="1465"/>
      <c r="EZ3" s="1466"/>
      <c r="FA3" s="1466"/>
      <c r="FB3" s="1052"/>
      <c r="FC3" s="1052"/>
      <c r="FD3" s="1052"/>
      <c r="FE3" s="1052"/>
      <c r="FF3" s="1052"/>
      <c r="FG3" s="1052"/>
      <c r="FH3" s="1052"/>
      <c r="FI3" s="1052"/>
      <c r="FJ3" s="1052"/>
      <c r="FK3" s="1052"/>
      <c r="FL3" s="1052"/>
      <c r="FM3" s="1052"/>
      <c r="FN3" s="1052"/>
      <c r="FO3" s="1052"/>
      <c r="FP3" s="1052"/>
      <c r="FQ3" s="1052"/>
      <c r="FR3" s="1052"/>
      <c r="FS3" s="1052"/>
      <c r="FT3" s="1052"/>
      <c r="FU3" s="1052"/>
      <c r="FV3" s="1052"/>
      <c r="FW3" s="1052"/>
      <c r="FX3" s="1052"/>
      <c r="FY3" s="1467"/>
      <c r="FZ3" s="1467"/>
      <c r="GA3" s="1467"/>
      <c r="GB3" s="1464"/>
      <c r="GC3" s="1464"/>
      <c r="GD3" s="1464"/>
      <c r="GE3" s="1464"/>
      <c r="GF3" s="1464"/>
      <c r="GG3" s="1464"/>
      <c r="GH3" s="1464"/>
    </row>
    <row r="4" spans="1:190" s="1053" customFormat="1" ht="12" customHeight="1" x14ac:dyDescent="0.25">
      <c r="A4" s="1255"/>
      <c r="B4" s="1256"/>
      <c r="C4" s="1256"/>
      <c r="D4" s="1254"/>
      <c r="E4" s="1257" t="s">
        <v>1</v>
      </c>
      <c r="F4" s="3384">
        <v>42510</v>
      </c>
      <c r="G4" s="3384"/>
      <c r="EN4" s="1468"/>
      <c r="EO4" s="1468"/>
      <c r="EP4" s="1468"/>
      <c r="EQ4" s="1468"/>
      <c r="ER4" s="1468"/>
      <c r="ES4" s="1468"/>
      <c r="ET4" s="1468"/>
      <c r="EU4" s="1468"/>
      <c r="EV4" s="1468"/>
      <c r="EW4" s="1468"/>
      <c r="EX4" s="1469"/>
      <c r="EY4" s="1469"/>
      <c r="EZ4" s="1470"/>
      <c r="FA4" s="1470"/>
      <c r="FB4" s="1055"/>
      <c r="FC4" s="1055"/>
      <c r="FD4" s="1055"/>
      <c r="FE4" s="1055"/>
      <c r="FF4" s="1055"/>
      <c r="FG4" s="1055"/>
      <c r="FH4" s="1055"/>
      <c r="FI4" s="1055"/>
      <c r="FJ4" s="1055"/>
      <c r="FK4" s="1055"/>
      <c r="FL4" s="1055"/>
      <c r="FM4" s="1055"/>
      <c r="FN4" s="1055"/>
      <c r="FO4" s="1055"/>
      <c r="FP4" s="1055"/>
      <c r="FQ4" s="1055"/>
      <c r="FR4" s="1055"/>
      <c r="FS4" s="1055"/>
      <c r="FT4" s="1055"/>
      <c r="FU4" s="1055"/>
      <c r="FV4" s="1055"/>
      <c r="FW4" s="1055"/>
      <c r="FX4" s="1055"/>
      <c r="FY4" s="1471"/>
      <c r="FZ4" s="1471"/>
      <c r="GA4" s="1471"/>
      <c r="GB4" s="1468"/>
      <c r="GC4" s="1468"/>
      <c r="GD4" s="1468"/>
      <c r="GE4" s="1468"/>
      <c r="GF4" s="1468"/>
      <c r="GG4" s="1468"/>
      <c r="GH4" s="1468"/>
    </row>
    <row r="5" spans="1:190" s="1053" customFormat="1" ht="24.75" customHeight="1" x14ac:dyDescent="0.25">
      <c r="A5" s="1258" t="s">
        <v>399</v>
      </c>
      <c r="B5" s="1259" t="s">
        <v>2016</v>
      </c>
      <c r="C5" s="1259" t="s">
        <v>2017</v>
      </c>
      <c r="D5" s="1259" t="s">
        <v>103</v>
      </c>
      <c r="E5" s="1259" t="s">
        <v>2018</v>
      </c>
      <c r="F5" s="3385" t="s">
        <v>276</v>
      </c>
      <c r="G5" s="3386"/>
      <c r="EN5" s="1468"/>
      <c r="EO5" s="1468"/>
      <c r="EP5" s="1468"/>
      <c r="EQ5" s="1468"/>
      <c r="ER5" s="1468"/>
      <c r="ES5" s="1468"/>
      <c r="ET5" s="1468"/>
      <c r="EU5" s="1468"/>
      <c r="EV5" s="1468"/>
      <c r="EW5" s="1468"/>
      <c r="EX5" s="1469"/>
      <c r="EY5" s="1469"/>
      <c r="EZ5" s="1470"/>
      <c r="FA5" s="1470"/>
      <c r="FB5" s="1055"/>
      <c r="FC5" s="1055"/>
      <c r="FD5" s="1055"/>
      <c r="FE5" s="1055"/>
      <c r="FF5" s="1055"/>
      <c r="FG5" s="1055"/>
      <c r="FH5" s="1055"/>
      <c r="FI5" s="1055"/>
      <c r="FJ5" s="1055"/>
      <c r="FK5" s="1055"/>
      <c r="FL5" s="1055"/>
      <c r="FM5" s="1055"/>
      <c r="FN5" s="1055"/>
      <c r="FO5" s="1055"/>
      <c r="FP5" s="1055"/>
      <c r="FQ5" s="1055"/>
      <c r="FR5" s="1055"/>
      <c r="FS5" s="1055"/>
      <c r="FT5" s="1055"/>
      <c r="FU5" s="1055"/>
      <c r="FV5" s="1055"/>
      <c r="FW5" s="1055"/>
      <c r="FX5" s="1055"/>
      <c r="FY5" s="1471"/>
      <c r="FZ5" s="1471"/>
      <c r="GA5" s="1471"/>
      <c r="GB5" s="1468"/>
      <c r="GC5" s="1468"/>
      <c r="GD5" s="1468"/>
      <c r="GE5" s="1468"/>
      <c r="GF5" s="1468"/>
      <c r="GG5" s="1468"/>
      <c r="GH5" s="1468"/>
    </row>
    <row r="6" spans="1:190" s="1053" customFormat="1" ht="16.5" customHeight="1" x14ac:dyDescent="0.25">
      <c r="A6" s="3387" t="s">
        <v>2019</v>
      </c>
      <c r="B6" s="3388"/>
      <c r="C6" s="3388"/>
      <c r="D6" s="3388"/>
      <c r="E6" s="3388"/>
      <c r="F6" s="3388"/>
      <c r="G6" s="3389"/>
      <c r="H6" s="1054"/>
      <c r="I6" s="1054"/>
      <c r="EN6" s="1468"/>
      <c r="EO6" s="1468"/>
      <c r="EP6" s="1468"/>
      <c r="EQ6" s="1468"/>
      <c r="ER6" s="1468"/>
      <c r="ES6" s="1468"/>
      <c r="ET6" s="1468"/>
      <c r="EU6" s="1468"/>
      <c r="EV6" s="1468"/>
      <c r="EW6" s="1468"/>
      <c r="EX6" s="1469"/>
      <c r="EY6" s="1469"/>
      <c r="EZ6" s="1470"/>
      <c r="FA6" s="1470"/>
      <c r="FB6" s="1055"/>
      <c r="FC6" s="1055"/>
      <c r="FD6" s="1055"/>
      <c r="FE6" s="1055"/>
      <c r="FF6" s="1055"/>
      <c r="FG6" s="1055"/>
      <c r="FH6" s="1055"/>
      <c r="FI6" s="1055"/>
      <c r="FJ6" s="1055"/>
      <c r="FK6" s="1055"/>
      <c r="FL6" s="1055"/>
      <c r="FM6" s="1055"/>
      <c r="FN6" s="1055"/>
      <c r="FO6" s="1055"/>
      <c r="FP6" s="1055"/>
      <c r="FQ6" s="1055"/>
      <c r="FR6" s="1055"/>
      <c r="FS6" s="1055"/>
      <c r="FT6" s="1055"/>
      <c r="FU6" s="1055"/>
      <c r="FV6" s="1055"/>
      <c r="FW6" s="1055"/>
      <c r="FX6" s="1055"/>
      <c r="FY6" s="1471"/>
      <c r="FZ6" s="1471"/>
      <c r="GA6" s="1471"/>
      <c r="GB6" s="1468"/>
      <c r="GC6" s="1468"/>
      <c r="GD6" s="1468"/>
      <c r="GE6" s="1468"/>
      <c r="GF6" s="1468"/>
      <c r="GG6" s="1468"/>
      <c r="GH6" s="1468"/>
    </row>
    <row r="7" spans="1:190" s="1053" customFormat="1" ht="38.25" customHeight="1" x14ac:dyDescent="0.25">
      <c r="A7" s="3367" t="s">
        <v>2117</v>
      </c>
      <c r="B7" s="3367"/>
      <c r="C7" s="3367"/>
      <c r="D7" s="3367"/>
      <c r="E7" s="3367"/>
      <c r="F7" s="3367"/>
      <c r="G7" s="3367"/>
      <c r="H7" s="1054"/>
      <c r="I7" s="1054"/>
      <c r="EN7" s="1468"/>
      <c r="EO7" s="1468"/>
      <c r="EP7" s="1468"/>
      <c r="EQ7" s="1468"/>
      <c r="ER7" s="1468"/>
      <c r="ES7" s="1468"/>
      <c r="ET7" s="1468"/>
      <c r="EU7" s="1468"/>
      <c r="EV7" s="1468"/>
      <c r="EW7" s="1468"/>
      <c r="EX7" s="1469"/>
      <c r="EY7" s="1469"/>
      <c r="EZ7" s="1470"/>
      <c r="FA7" s="1470"/>
      <c r="FB7" s="1055"/>
      <c r="FC7" s="1055"/>
      <c r="FD7" s="1055"/>
      <c r="FE7" s="1055"/>
      <c r="FF7" s="1055"/>
      <c r="FG7" s="1055"/>
      <c r="FH7" s="1055"/>
      <c r="FI7" s="1055"/>
      <c r="FJ7" s="1055"/>
      <c r="FK7" s="1055"/>
      <c r="FL7" s="1055"/>
      <c r="FM7" s="1055"/>
      <c r="FN7" s="1055"/>
      <c r="FO7" s="1055"/>
      <c r="FP7" s="1055"/>
      <c r="FQ7" s="1055"/>
      <c r="FR7" s="1055"/>
      <c r="FS7" s="1055"/>
      <c r="FT7" s="1055"/>
      <c r="FU7" s="1055"/>
      <c r="FV7" s="1055"/>
      <c r="FW7" s="1055"/>
      <c r="FX7" s="1055"/>
      <c r="FY7" s="1471"/>
      <c r="FZ7" s="1471"/>
      <c r="GA7" s="1471"/>
      <c r="GB7" s="1468"/>
      <c r="GC7" s="1468"/>
      <c r="GD7" s="1468"/>
      <c r="GE7" s="1468"/>
      <c r="GF7" s="1468"/>
      <c r="GG7" s="1468"/>
      <c r="GH7" s="1468"/>
    </row>
    <row r="8" spans="1:190" customFormat="1" ht="23.25" customHeight="1" x14ac:dyDescent="0.3">
      <c r="A8" s="1163" t="s">
        <v>2020</v>
      </c>
      <c r="B8" s="1260" t="s">
        <v>405</v>
      </c>
      <c r="C8" s="1260" t="s">
        <v>2021</v>
      </c>
      <c r="D8" s="1260" t="s">
        <v>2222</v>
      </c>
      <c r="E8" s="1260" t="s">
        <v>602</v>
      </c>
      <c r="F8" s="3365">
        <f>ROUND(2767*(1-B59),2)</f>
        <v>2767</v>
      </c>
      <c r="G8" s="3381"/>
      <c r="H8" s="1261"/>
      <c r="I8" s="1261"/>
      <c r="J8" s="1261"/>
      <c r="K8" s="1261"/>
      <c r="L8" s="1261"/>
      <c r="M8" s="1261"/>
      <c r="EN8" s="1472"/>
      <c r="EO8" s="1472"/>
      <c r="EP8" s="1472"/>
      <c r="EQ8" s="1472"/>
      <c r="ER8" s="1472"/>
      <c r="ES8" s="1472"/>
      <c r="ET8" s="1472"/>
      <c r="EU8" s="1472"/>
      <c r="EV8" s="1472"/>
      <c r="EW8" s="1472"/>
      <c r="EX8" s="1472"/>
      <c r="EY8" s="1472"/>
      <c r="EZ8" s="1473"/>
      <c r="FA8" s="1473"/>
      <c r="FB8" s="1474"/>
      <c r="FC8" s="1458"/>
      <c r="FD8" s="1458"/>
      <c r="FE8" s="1458"/>
      <c r="FF8" s="1458"/>
      <c r="FG8" s="1458"/>
      <c r="FH8" s="1458"/>
      <c r="FI8" s="1458"/>
      <c r="FJ8" s="1458"/>
      <c r="FK8" s="1458"/>
      <c r="FL8" s="1458"/>
      <c r="FM8" s="1458"/>
      <c r="FN8" s="1458"/>
      <c r="FO8" s="1458"/>
      <c r="FP8" s="1458"/>
      <c r="FQ8" s="1458"/>
      <c r="FR8" s="1458"/>
      <c r="FS8" s="1458"/>
      <c r="FT8" s="1458"/>
      <c r="FU8" s="1458"/>
      <c r="FV8" s="1458"/>
      <c r="FW8" s="1458"/>
      <c r="FX8" s="1458"/>
      <c r="FY8" s="1475"/>
      <c r="FZ8" s="1475"/>
      <c r="GA8" s="1475"/>
      <c r="GB8" s="1472"/>
      <c r="GC8" s="1472"/>
      <c r="GD8" s="1472"/>
      <c r="GE8" s="1472"/>
      <c r="GF8" s="1472"/>
      <c r="GG8" s="1472"/>
      <c r="GH8" s="1472"/>
    </row>
    <row r="9" spans="1:190" customFormat="1" ht="23.25" customHeight="1" x14ac:dyDescent="0.3">
      <c r="A9" s="1163" t="s">
        <v>2022</v>
      </c>
      <c r="B9" s="1260" t="s">
        <v>2023</v>
      </c>
      <c r="C9" s="1260" t="s">
        <v>2021</v>
      </c>
      <c r="D9" s="1260" t="s">
        <v>2223</v>
      </c>
      <c r="E9" s="1260" t="s">
        <v>602</v>
      </c>
      <c r="F9" s="3365">
        <f>ROUND(3832*(1-B56),2)</f>
        <v>3832</v>
      </c>
      <c r="G9" s="3366"/>
      <c r="H9" s="1261"/>
      <c r="I9" s="1261"/>
      <c r="J9" s="1261"/>
      <c r="K9" s="1261"/>
      <c r="L9" s="1261"/>
      <c r="M9" s="1261"/>
      <c r="EN9" s="1472"/>
      <c r="EO9" s="1472"/>
      <c r="EP9" s="1472"/>
      <c r="EQ9" s="1472"/>
      <c r="ER9" s="1472"/>
      <c r="ES9" s="1472"/>
      <c r="ET9" s="1472"/>
      <c r="EU9" s="1472"/>
      <c r="EV9" s="1472"/>
      <c r="EW9" s="1472"/>
      <c r="EX9" s="1472"/>
      <c r="EY9" s="1472"/>
      <c r="EZ9" s="1473"/>
      <c r="FA9" s="1473"/>
      <c r="FB9" s="1474"/>
      <c r="FC9" s="1458"/>
      <c r="FD9" s="1458"/>
      <c r="FE9" s="1458"/>
      <c r="FF9" s="1458"/>
      <c r="FG9" s="1458"/>
      <c r="FH9" s="1458"/>
      <c r="FI9" s="1458"/>
      <c r="FJ9" s="1458"/>
      <c r="FK9" s="1458"/>
      <c r="FL9" s="1458"/>
      <c r="FM9" s="1458"/>
      <c r="FN9" s="1458"/>
      <c r="FO9" s="1458"/>
      <c r="FP9" s="1458"/>
      <c r="FQ9" s="1458"/>
      <c r="FR9" s="1458"/>
      <c r="FS9" s="1458"/>
      <c r="FT9" s="1458"/>
      <c r="FU9" s="1458"/>
      <c r="FV9" s="1458"/>
      <c r="FW9" s="1458"/>
      <c r="FX9" s="1458"/>
      <c r="FY9" s="1475"/>
      <c r="FZ9" s="1475"/>
      <c r="GA9" s="1475"/>
      <c r="GB9" s="1472"/>
      <c r="GC9" s="1472"/>
      <c r="GD9" s="1472"/>
      <c r="GE9" s="1472"/>
      <c r="GF9" s="1472"/>
      <c r="GG9" s="1472"/>
      <c r="GH9" s="1472"/>
    </row>
    <row r="10" spans="1:190" customFormat="1" ht="23.25" customHeight="1" x14ac:dyDescent="0.3">
      <c r="A10" s="1163" t="s">
        <v>2024</v>
      </c>
      <c r="B10" s="1260" t="s">
        <v>405</v>
      </c>
      <c r="C10" s="1260" t="s">
        <v>2025</v>
      </c>
      <c r="D10" s="1260" t="s">
        <v>2222</v>
      </c>
      <c r="E10" s="1260" t="s">
        <v>602</v>
      </c>
      <c r="F10" s="3365">
        <f>ROUND(4928*(1-B59),2)</f>
        <v>4928</v>
      </c>
      <c r="G10" s="3366"/>
      <c r="H10" s="1261"/>
      <c r="I10" s="1261"/>
      <c r="J10" s="1261"/>
      <c r="K10" s="1261"/>
      <c r="L10" s="1261"/>
      <c r="M10" s="1261"/>
      <c r="EN10" s="1472"/>
      <c r="EO10" s="1472"/>
      <c r="EP10" s="1472"/>
      <c r="EQ10" s="1472"/>
      <c r="ER10" s="1472"/>
      <c r="ES10" s="1472"/>
      <c r="ET10" s="1472"/>
      <c r="EU10" s="1472"/>
      <c r="EV10" s="1472"/>
      <c r="EW10" s="1472"/>
      <c r="EX10" s="1472"/>
      <c r="EY10" s="1472"/>
      <c r="EZ10" s="1473"/>
      <c r="FA10" s="1473"/>
      <c r="FB10" s="1474"/>
      <c r="FC10" s="1458"/>
      <c r="FD10" s="1458"/>
      <c r="FE10" s="1458"/>
      <c r="FF10" s="1458"/>
      <c r="FG10" s="1458"/>
      <c r="FH10" s="1458"/>
      <c r="FI10" s="1458"/>
      <c r="FJ10" s="1458"/>
      <c r="FK10" s="1458"/>
      <c r="FL10" s="1458"/>
      <c r="FM10" s="1458"/>
      <c r="FN10" s="1458"/>
      <c r="FO10" s="1458"/>
      <c r="FP10" s="1458"/>
      <c r="FQ10" s="1458"/>
      <c r="FR10" s="1458"/>
      <c r="FS10" s="1458"/>
      <c r="FT10" s="1458"/>
      <c r="FU10" s="1458"/>
      <c r="FV10" s="1458"/>
      <c r="FW10" s="1458"/>
      <c r="FX10" s="1458"/>
      <c r="FY10" s="1475"/>
      <c r="FZ10" s="1475"/>
      <c r="GA10" s="1475"/>
      <c r="GB10" s="1472"/>
      <c r="GC10" s="1472"/>
      <c r="GD10" s="1472"/>
      <c r="GE10" s="1472"/>
      <c r="GF10" s="1472"/>
      <c r="GG10" s="1472"/>
      <c r="GH10" s="1472"/>
    </row>
    <row r="11" spans="1:190" customFormat="1" ht="23.25" customHeight="1" x14ac:dyDescent="0.3">
      <c r="A11" s="1163" t="s">
        <v>2026</v>
      </c>
      <c r="B11" s="1260" t="s">
        <v>2023</v>
      </c>
      <c r="C11" s="1260" t="s">
        <v>2027</v>
      </c>
      <c r="D11" s="3368" t="s">
        <v>2223</v>
      </c>
      <c r="E11" s="1260" t="s">
        <v>602</v>
      </c>
      <c r="F11" s="3365">
        <f>ROUND(4839*(1-B56),0)</f>
        <v>4839</v>
      </c>
      <c r="G11" s="3366"/>
      <c r="H11" s="1261"/>
      <c r="I11" s="1261"/>
      <c r="J11" s="1261"/>
      <c r="K11" s="1261"/>
      <c r="L11" s="1261"/>
      <c r="M11" s="1261"/>
      <c r="EN11" s="1472"/>
      <c r="EO11" s="1472"/>
      <c r="EP11" s="1472"/>
      <c r="EQ11" s="1472"/>
      <c r="ER11" s="1472"/>
      <c r="ES11" s="1472"/>
      <c r="ET11" s="1472"/>
      <c r="EU11" s="1472"/>
      <c r="EV11" s="1472"/>
      <c r="EW11" s="1472"/>
      <c r="EX11" s="1472"/>
      <c r="EY11" s="1472"/>
      <c r="EZ11" s="1473"/>
      <c r="FA11" s="1473"/>
      <c r="FB11" s="1474"/>
      <c r="FC11" s="1458"/>
      <c r="FD11" s="1458"/>
      <c r="FE11" s="1458"/>
      <c r="FF11" s="1458"/>
      <c r="FG11" s="1458"/>
      <c r="FH11" s="1458"/>
      <c r="FI11" s="1458"/>
      <c r="FJ11" s="1458"/>
      <c r="FK11" s="1458"/>
      <c r="FL11" s="1458"/>
      <c r="FM11" s="1458"/>
      <c r="FN11" s="1458"/>
      <c r="FO11" s="1458"/>
      <c r="FP11" s="1458"/>
      <c r="FQ11" s="1458"/>
      <c r="FR11" s="1458"/>
      <c r="FS11" s="1458"/>
      <c r="FT11" s="1458"/>
      <c r="FU11" s="1458"/>
      <c r="FV11" s="1458"/>
      <c r="FW11" s="1458"/>
      <c r="FX11" s="1458"/>
      <c r="FY11" s="1475"/>
      <c r="FZ11" s="1475"/>
      <c r="GA11" s="1475"/>
      <c r="GB11" s="1472"/>
      <c r="GC11" s="1472"/>
      <c r="GD11" s="1472"/>
      <c r="GE11" s="1472"/>
      <c r="GF11" s="1472"/>
      <c r="GG11" s="1472"/>
      <c r="GH11" s="1472"/>
    </row>
    <row r="12" spans="1:190" customFormat="1" ht="23.25" customHeight="1" x14ac:dyDescent="0.3">
      <c r="A12" s="1163" t="s">
        <v>2030</v>
      </c>
      <c r="B12" s="1260" t="s">
        <v>2031</v>
      </c>
      <c r="C12" s="1260" t="s">
        <v>2032</v>
      </c>
      <c r="D12" s="3380"/>
      <c r="E12" s="1260" t="s">
        <v>602</v>
      </c>
      <c r="F12" s="3370">
        <f>ROUND(6300*(1-B57),2)</f>
        <v>6300</v>
      </c>
      <c r="G12" s="3371"/>
      <c r="H12" s="1261"/>
      <c r="I12" s="1261"/>
      <c r="J12" s="1261"/>
      <c r="K12" s="1261"/>
      <c r="L12" s="1261"/>
      <c r="M12" s="1261"/>
      <c r="EN12" s="1472"/>
      <c r="EO12" s="1472"/>
      <c r="EP12" s="1472"/>
      <c r="EQ12" s="1472"/>
      <c r="ER12" s="1472"/>
      <c r="ES12" s="1472"/>
      <c r="ET12" s="1472"/>
      <c r="EU12" s="1472"/>
      <c r="EV12" s="1472"/>
      <c r="EW12" s="1472"/>
      <c r="EX12" s="1472"/>
      <c r="EY12" s="1472"/>
      <c r="EZ12" s="1473"/>
      <c r="FA12" s="1473"/>
      <c r="FB12" s="1474"/>
      <c r="FC12" s="1458"/>
      <c r="FD12" s="1458" t="s">
        <v>1848</v>
      </c>
      <c r="FE12" s="1458"/>
      <c r="FF12" s="1458"/>
      <c r="FG12" s="1458"/>
      <c r="FH12" s="1458"/>
      <c r="FI12" s="1458"/>
      <c r="FJ12" s="1458"/>
      <c r="FK12" s="1458"/>
      <c r="FL12" s="1458"/>
      <c r="FM12" s="1458"/>
      <c r="FN12" s="1458"/>
      <c r="FO12" s="1458"/>
      <c r="FP12" s="1458"/>
      <c r="FQ12" s="1458"/>
      <c r="FR12" s="1458"/>
      <c r="FS12" s="1458"/>
      <c r="FT12" s="1458"/>
      <c r="FU12" s="1458"/>
      <c r="FV12" s="1458"/>
      <c r="FW12" s="1458"/>
      <c r="FX12" s="1458"/>
      <c r="FY12" s="1475"/>
      <c r="FZ12" s="1475"/>
      <c r="GA12" s="1475"/>
      <c r="GB12" s="1472"/>
      <c r="GC12" s="1472"/>
      <c r="GD12" s="1472"/>
      <c r="GE12" s="1472"/>
      <c r="GF12" s="1472"/>
      <c r="GG12" s="1472"/>
      <c r="GH12" s="1472"/>
    </row>
    <row r="13" spans="1:190" customFormat="1" ht="23.25" customHeight="1" x14ac:dyDescent="0.3">
      <c r="A13" s="1163" t="s">
        <v>2463</v>
      </c>
      <c r="B13" s="1260" t="s">
        <v>2023</v>
      </c>
      <c r="C13" s="1260" t="s">
        <v>2033</v>
      </c>
      <c r="D13" s="3380"/>
      <c r="E13" s="1260" t="s">
        <v>602</v>
      </c>
      <c r="F13" s="3365">
        <f>ROUND(5323*(1-B56),2)</f>
        <v>5323</v>
      </c>
      <c r="G13" s="3366"/>
      <c r="H13" s="1261"/>
      <c r="I13" s="1261"/>
      <c r="J13" s="1261"/>
      <c r="K13" s="1261"/>
      <c r="L13" s="1261"/>
      <c r="M13" s="1261"/>
      <c r="EN13" s="1472"/>
      <c r="EO13" s="1472"/>
      <c r="EP13" s="1472"/>
      <c r="EQ13" s="1472"/>
      <c r="ER13" s="1472"/>
      <c r="ES13" s="1472"/>
      <c r="ET13" s="1472"/>
      <c r="EU13" s="1472"/>
      <c r="EV13" s="1472"/>
      <c r="EW13" s="1472"/>
      <c r="EX13" s="1472"/>
      <c r="EY13" s="1472"/>
      <c r="EZ13" s="1473"/>
      <c r="FA13" s="1473"/>
      <c r="FB13" s="1474"/>
      <c r="FC13" s="1458"/>
      <c r="FD13" s="1458" t="s">
        <v>1849</v>
      </c>
      <c r="FE13" s="1458"/>
      <c r="FF13" s="1458"/>
      <c r="FG13" s="1458"/>
      <c r="FH13" s="1458"/>
      <c r="FI13" s="1458"/>
      <c r="FJ13" s="1458"/>
      <c r="FK13" s="1458"/>
      <c r="FL13" s="1458"/>
      <c r="FM13" s="1458"/>
      <c r="FN13" s="1458"/>
      <c r="FO13" s="1458"/>
      <c r="FP13" s="1458"/>
      <c r="FQ13" s="1458"/>
      <c r="FR13" s="1458"/>
      <c r="FS13" s="1458"/>
      <c r="FT13" s="1458"/>
      <c r="FU13" s="1458" t="s">
        <v>1850</v>
      </c>
      <c r="FV13" s="1458" t="s">
        <v>1851</v>
      </c>
      <c r="FW13" s="1458"/>
      <c r="FX13" s="1458"/>
      <c r="FY13" s="1475"/>
      <c r="FZ13" s="1475"/>
      <c r="GA13" s="1475"/>
      <c r="GB13" s="1472"/>
      <c r="GC13" s="1472"/>
      <c r="GD13" s="1472"/>
      <c r="GE13" s="1472"/>
      <c r="GF13" s="1472"/>
      <c r="GG13" s="1472"/>
      <c r="GH13" s="1472"/>
    </row>
    <row r="14" spans="1:190" customFormat="1" ht="23.25" customHeight="1" x14ac:dyDescent="0.3">
      <c r="A14" s="1163" t="s">
        <v>2036</v>
      </c>
      <c r="B14" s="1260" t="s">
        <v>2023</v>
      </c>
      <c r="C14" s="1260" t="s">
        <v>2029</v>
      </c>
      <c r="D14" s="3380"/>
      <c r="E14" s="1260" t="s">
        <v>602</v>
      </c>
      <c r="F14" s="3365">
        <f>ROUND(7065*(1-B56),0)</f>
        <v>7065</v>
      </c>
      <c r="G14" s="3366"/>
      <c r="H14" s="1261"/>
      <c r="I14" s="1261"/>
      <c r="J14" s="1261"/>
      <c r="K14" s="1261"/>
      <c r="L14" s="1261"/>
      <c r="M14" s="1261"/>
      <c r="EN14" s="1472"/>
      <c r="EO14" s="1472"/>
      <c r="EP14" s="1472"/>
      <c r="EQ14" s="1472"/>
      <c r="ER14" s="1472"/>
      <c r="ES14" s="1472"/>
      <c r="ET14" s="1472"/>
      <c r="EU14" s="1472"/>
      <c r="EV14" s="1472"/>
      <c r="EW14" s="1472"/>
      <c r="EX14" s="1472"/>
      <c r="EY14" s="1472"/>
      <c r="EZ14" s="1473"/>
      <c r="FA14" s="1473"/>
      <c r="FB14" s="1474"/>
      <c r="FC14" s="1458"/>
      <c r="FD14" s="1458"/>
      <c r="FE14" s="1458"/>
      <c r="FF14" s="1458"/>
      <c r="FG14" s="1458"/>
      <c r="FH14" s="1458"/>
      <c r="FI14" s="1458"/>
      <c r="FJ14" s="1458"/>
      <c r="FK14" s="1458"/>
      <c r="FL14" s="1458"/>
      <c r="FM14" s="1458"/>
      <c r="FN14" s="1458"/>
      <c r="FO14" s="1458"/>
      <c r="FP14" s="1458"/>
      <c r="FQ14" s="1458"/>
      <c r="FR14" s="1458"/>
      <c r="FS14" s="1458"/>
      <c r="FT14" s="1458"/>
      <c r="FU14" s="1458"/>
      <c r="FV14" s="1458"/>
      <c r="FW14" s="1458"/>
      <c r="FX14" s="1458"/>
      <c r="FY14" s="1475"/>
      <c r="FZ14" s="1475"/>
      <c r="GA14" s="1475"/>
      <c r="GB14" s="1472"/>
      <c r="GC14" s="1472"/>
      <c r="GD14" s="1472"/>
      <c r="GE14" s="1472"/>
      <c r="GF14" s="1472"/>
      <c r="GG14" s="1472"/>
      <c r="GH14" s="1472"/>
    </row>
    <row r="15" spans="1:190" customFormat="1" ht="23.25" customHeight="1" x14ac:dyDescent="0.3">
      <c r="A15" s="1163" t="s">
        <v>2034</v>
      </c>
      <c r="B15" s="1260" t="s">
        <v>2031</v>
      </c>
      <c r="C15" s="1260" t="s">
        <v>2035</v>
      </c>
      <c r="D15" s="3380"/>
      <c r="E15" s="1260" t="s">
        <v>602</v>
      </c>
      <c r="F15" s="3365">
        <f>ROUND(7800*(1-B57),2)</f>
        <v>7800</v>
      </c>
      <c r="G15" s="3366"/>
      <c r="H15" s="1261"/>
      <c r="I15" s="1261"/>
      <c r="J15" s="1261"/>
      <c r="K15" s="1261"/>
      <c r="L15" s="1261"/>
      <c r="M15" s="1261"/>
      <c r="EN15" s="1472"/>
      <c r="EO15" s="1472"/>
      <c r="EP15" s="1472"/>
      <c r="EQ15" s="1472"/>
      <c r="ER15" s="1472"/>
      <c r="ES15" s="1472"/>
      <c r="ET15" s="1472"/>
      <c r="EU15" s="1472"/>
      <c r="EV15" s="1472"/>
      <c r="EW15" s="1472"/>
      <c r="EX15" s="1472"/>
      <c r="EY15" s="1472"/>
      <c r="EZ15" s="1473"/>
      <c r="FA15" s="1473"/>
      <c r="FB15" s="1474"/>
      <c r="FC15" s="1458"/>
      <c r="FD15" s="1458"/>
      <c r="FE15" s="1458"/>
      <c r="FF15" s="1458"/>
      <c r="FG15" s="1458"/>
      <c r="FH15" s="1458"/>
      <c r="FI15" s="1458"/>
      <c r="FJ15" s="1458"/>
      <c r="FK15" s="1458"/>
      <c r="FL15" s="1458"/>
      <c r="FM15" s="1458"/>
      <c r="FN15" s="1458"/>
      <c r="FO15" s="1458"/>
      <c r="FP15" s="1458"/>
      <c r="FQ15" s="1458"/>
      <c r="FR15" s="1458"/>
      <c r="FS15" s="1458"/>
      <c r="FT15" s="1458"/>
      <c r="FU15" s="1458" t="s">
        <v>1852</v>
      </c>
      <c r="FV15" s="1458" t="s">
        <v>1853</v>
      </c>
      <c r="FW15" s="1458"/>
      <c r="FX15" s="1458"/>
      <c r="FY15" s="1475"/>
      <c r="FZ15" s="1475"/>
      <c r="GA15" s="1475"/>
      <c r="GB15" s="1472"/>
      <c r="GC15" s="1472"/>
      <c r="GD15" s="1472"/>
      <c r="GE15" s="1472"/>
      <c r="GF15" s="1472"/>
      <c r="GG15" s="1472"/>
      <c r="GH15" s="1472"/>
    </row>
    <row r="16" spans="1:190" customFormat="1" ht="23.25" customHeight="1" x14ac:dyDescent="0.3">
      <c r="A16" s="1163" t="s">
        <v>2037</v>
      </c>
      <c r="B16" s="1260" t="s">
        <v>2038</v>
      </c>
      <c r="C16" s="1260" t="s">
        <v>2039</v>
      </c>
      <c r="D16" s="3369"/>
      <c r="E16" s="1260" t="s">
        <v>602</v>
      </c>
      <c r="F16" s="3365">
        <f>ROUND(7125*(1-B58),2)</f>
        <v>7125</v>
      </c>
      <c r="G16" s="3366"/>
      <c r="H16" s="1261"/>
      <c r="I16" s="1261"/>
      <c r="J16" s="1261"/>
      <c r="K16" s="1261"/>
      <c r="L16" s="1261"/>
      <c r="M16" s="1261"/>
      <c r="EN16" s="1472"/>
      <c r="EO16" s="1472"/>
      <c r="EP16" s="1472"/>
      <c r="EQ16" s="1472"/>
      <c r="ER16" s="1472"/>
      <c r="ES16" s="1472"/>
      <c r="ET16" s="1472"/>
      <c r="EU16" s="1472"/>
      <c r="EV16" s="1472"/>
      <c r="EW16" s="1472"/>
      <c r="EX16" s="1472"/>
      <c r="EY16" s="1472"/>
      <c r="EZ16" s="1473"/>
      <c r="FA16" s="1473"/>
      <c r="FB16" s="1474"/>
      <c r="FC16" s="1458"/>
      <c r="FD16" s="1458"/>
      <c r="FE16" s="1458"/>
      <c r="FF16" s="1458"/>
      <c r="FG16" s="1458"/>
      <c r="FH16" s="1458"/>
      <c r="FI16" s="1458"/>
      <c r="FJ16" s="1458"/>
      <c r="FK16" s="1458"/>
      <c r="FL16" s="1458"/>
      <c r="FM16" s="1458"/>
      <c r="FN16" s="1458"/>
      <c r="FO16" s="1458"/>
      <c r="FP16" s="1458"/>
      <c r="FQ16" s="1458"/>
      <c r="FR16" s="1458"/>
      <c r="FS16" s="1458"/>
      <c r="FT16" s="1458"/>
      <c r="FU16" s="1458" t="s">
        <v>1857</v>
      </c>
      <c r="FV16" s="1458" t="s">
        <v>1858</v>
      </c>
      <c r="FW16" s="1458"/>
      <c r="FX16" s="1458"/>
      <c r="FY16" s="1475"/>
      <c r="FZ16" s="1475"/>
      <c r="GA16" s="1475"/>
      <c r="GB16" s="1472"/>
      <c r="GC16" s="1472"/>
      <c r="GD16" s="1472"/>
      <c r="GE16" s="1472"/>
      <c r="GF16" s="1472"/>
      <c r="GG16" s="1472"/>
      <c r="GH16" s="1472"/>
    </row>
    <row r="17" spans="1:190" s="1053" customFormat="1" ht="38.25" customHeight="1" x14ac:dyDescent="0.15">
      <c r="A17" s="3374" t="s">
        <v>2118</v>
      </c>
      <c r="B17" s="3375"/>
      <c r="C17" s="3375"/>
      <c r="D17" s="3375"/>
      <c r="E17" s="3375"/>
      <c r="F17" s="3375"/>
      <c r="G17" s="3376"/>
      <c r="H17" s="1262"/>
      <c r="I17" s="1262"/>
      <c r="J17" s="1066"/>
      <c r="EN17" s="1468"/>
      <c r="EO17" s="1468"/>
      <c r="EP17" s="1468"/>
      <c r="EQ17" s="1468"/>
      <c r="ER17" s="1468"/>
      <c r="ES17" s="1468"/>
      <c r="ET17" s="1468"/>
      <c r="EU17" s="1468"/>
      <c r="EV17" s="1468"/>
      <c r="EW17" s="1468"/>
      <c r="EX17" s="1469"/>
      <c r="EY17" s="1469"/>
      <c r="EZ17" s="1470"/>
      <c r="FA17" s="1470"/>
      <c r="FB17" s="1055"/>
      <c r="FC17" s="1055"/>
      <c r="FD17" s="1055" t="s">
        <v>1859</v>
      </c>
      <c r="FE17" s="1055"/>
      <c r="FF17" s="1055"/>
      <c r="FG17" s="1055"/>
      <c r="FH17" s="1055"/>
      <c r="FI17" s="1055"/>
      <c r="FJ17" s="1055"/>
      <c r="FK17" s="1055"/>
      <c r="FL17" s="1055"/>
      <c r="FM17" s="1055"/>
      <c r="FN17" s="1055"/>
      <c r="FO17" s="1055"/>
      <c r="FP17" s="1055"/>
      <c r="FQ17" s="1055"/>
      <c r="FR17" s="1055"/>
      <c r="FS17" s="1055"/>
      <c r="FT17" s="1055"/>
      <c r="FU17" s="1073" t="s">
        <v>1860</v>
      </c>
      <c r="FV17" s="1073" t="s">
        <v>1861</v>
      </c>
      <c r="FW17" s="1081"/>
      <c r="FX17" s="1081"/>
      <c r="FY17" s="1471"/>
      <c r="FZ17" s="1471"/>
      <c r="GA17" s="1471"/>
      <c r="GB17" s="1468"/>
      <c r="GC17" s="1468"/>
      <c r="GD17" s="1468"/>
      <c r="GE17" s="1468"/>
      <c r="GF17" s="1468"/>
      <c r="GG17" s="1468"/>
      <c r="GH17" s="1468"/>
    </row>
    <row r="18" spans="1:190" customFormat="1" ht="25.5" customHeight="1" x14ac:dyDescent="0.3">
      <c r="A18" s="1163" t="s">
        <v>2040</v>
      </c>
      <c r="B18" s="1260" t="s">
        <v>405</v>
      </c>
      <c r="C18" s="1260" t="s">
        <v>2041</v>
      </c>
      <c r="D18" s="1498" t="s">
        <v>2224</v>
      </c>
      <c r="E18" s="1260" t="s">
        <v>602</v>
      </c>
      <c r="F18" s="1260">
        <f>ROUND(760*(1-B55),2)</f>
        <v>760</v>
      </c>
      <c r="G18" s="1260">
        <f>ROUND(1380*(1-B55),2)</f>
        <v>1380</v>
      </c>
      <c r="H18" s="1261"/>
      <c r="I18" s="1261"/>
      <c r="J18" s="1261"/>
      <c r="K18" s="1261"/>
      <c r="L18" s="1261"/>
      <c r="M18" s="1261"/>
      <c r="EN18" s="1472"/>
      <c r="EO18" s="1472"/>
      <c r="EP18" s="1472"/>
      <c r="EQ18" s="1472"/>
      <c r="ER18" s="1472"/>
      <c r="ES18" s="1472"/>
      <c r="ET18" s="1472"/>
      <c r="EU18" s="1472"/>
      <c r="EV18" s="1472"/>
      <c r="EW18" s="1472"/>
      <c r="EX18" s="1472"/>
      <c r="EY18" s="1472"/>
      <c r="EZ18" s="1473"/>
      <c r="FA18" s="1473"/>
      <c r="FB18" s="1474"/>
      <c r="FC18" s="1458"/>
      <c r="FD18" s="1458" t="s">
        <v>1862</v>
      </c>
      <c r="FE18" s="1458"/>
      <c r="FF18" s="1458"/>
      <c r="FG18" s="1458"/>
      <c r="FH18" s="1458"/>
      <c r="FI18" s="1458"/>
      <c r="FJ18" s="1458"/>
      <c r="FK18" s="1458"/>
      <c r="FL18" s="1458"/>
      <c r="FM18" s="1458"/>
      <c r="FN18" s="1458"/>
      <c r="FO18" s="1458"/>
      <c r="FP18" s="1458"/>
      <c r="FQ18" s="1458"/>
      <c r="FR18" s="1458"/>
      <c r="FS18" s="1458"/>
      <c r="FT18" s="1458"/>
      <c r="FU18" s="1458"/>
      <c r="FV18" s="1458"/>
      <c r="FW18" s="1458"/>
      <c r="FX18" s="1458"/>
      <c r="FY18" s="1475"/>
      <c r="FZ18" s="1475"/>
      <c r="GA18" s="1475"/>
      <c r="GB18" s="1472"/>
      <c r="GC18" s="1472"/>
      <c r="GD18" s="1472"/>
      <c r="GE18" s="1472"/>
      <c r="GF18" s="1472"/>
      <c r="GG18" s="1472"/>
      <c r="GH18" s="1472"/>
    </row>
    <row r="19" spans="1:190" customFormat="1" ht="25.5" customHeight="1" x14ac:dyDescent="0.3">
      <c r="A19" s="1163" t="s">
        <v>2853</v>
      </c>
      <c r="B19" s="1260" t="s">
        <v>405</v>
      </c>
      <c r="C19" s="1260" t="s">
        <v>2027</v>
      </c>
      <c r="D19" s="1260" t="s">
        <v>2222</v>
      </c>
      <c r="E19" s="1260" t="s">
        <v>602</v>
      </c>
      <c r="F19" s="3365">
        <f>ROUND(1434*(1-B59),2)</f>
        <v>1434</v>
      </c>
      <c r="G19" s="3381"/>
      <c r="H19" s="1261"/>
      <c r="I19" s="1261"/>
      <c r="J19" s="1261"/>
      <c r="K19" s="1261"/>
      <c r="L19" s="1261"/>
      <c r="M19" s="1261"/>
      <c r="EN19" s="1472"/>
      <c r="EO19" s="1472"/>
      <c r="EP19" s="1472"/>
      <c r="EQ19" s="1472"/>
      <c r="ER19" s="1472"/>
      <c r="ES19" s="1472"/>
      <c r="ET19" s="1472"/>
      <c r="EU19" s="1472"/>
      <c r="EV19" s="1472"/>
      <c r="EW19" s="1472"/>
      <c r="EX19" s="1472"/>
      <c r="EY19" s="1472"/>
      <c r="EZ19" s="1473"/>
      <c r="FA19" s="1473"/>
      <c r="FB19" s="1474"/>
      <c r="FC19" s="1458"/>
      <c r="FD19" s="1458"/>
      <c r="FE19" s="1458"/>
      <c r="FF19" s="1458"/>
      <c r="FG19" s="1458"/>
      <c r="FH19" s="1458"/>
      <c r="FI19" s="1458"/>
      <c r="FJ19" s="1458"/>
      <c r="FK19" s="1458"/>
      <c r="FL19" s="1458"/>
      <c r="FM19" s="1458"/>
      <c r="FN19" s="1458"/>
      <c r="FO19" s="1458"/>
      <c r="FP19" s="1458"/>
      <c r="FQ19" s="1458"/>
      <c r="FR19" s="1458"/>
      <c r="FS19" s="1458"/>
      <c r="FT19" s="1458"/>
      <c r="FU19" s="1458"/>
      <c r="FV19" s="1458"/>
      <c r="FW19" s="1458"/>
      <c r="FX19" s="1458"/>
      <c r="FY19" s="1475"/>
      <c r="FZ19" s="1475"/>
      <c r="GA19" s="1475"/>
      <c r="GB19" s="1472"/>
      <c r="GC19" s="1472"/>
      <c r="GD19" s="1472"/>
      <c r="GE19" s="1472"/>
      <c r="GF19" s="1472"/>
      <c r="GG19" s="1472"/>
      <c r="GH19" s="1472"/>
    </row>
    <row r="20" spans="1:190" customFormat="1" ht="23.25" customHeight="1" x14ac:dyDescent="0.3">
      <c r="A20" s="1163" t="s">
        <v>2042</v>
      </c>
      <c r="B20" s="1260" t="s">
        <v>405</v>
      </c>
      <c r="C20" s="1260" t="s">
        <v>2043</v>
      </c>
      <c r="D20" s="3368" t="s">
        <v>2223</v>
      </c>
      <c r="E20" s="1260" t="s">
        <v>602</v>
      </c>
      <c r="F20" s="3363">
        <f>ROUND(1680*(1-B56),2)</f>
        <v>1680</v>
      </c>
      <c r="G20" s="3364"/>
      <c r="H20" s="1261"/>
      <c r="I20" s="1261"/>
      <c r="J20" s="1261"/>
      <c r="K20" s="1261"/>
      <c r="L20" s="1261"/>
      <c r="M20" s="1261"/>
      <c r="EN20" s="1472"/>
      <c r="EO20" s="1472"/>
      <c r="EP20" s="1472"/>
      <c r="EQ20" s="1472"/>
      <c r="ER20" s="1472"/>
      <c r="ES20" s="1472"/>
      <c r="ET20" s="1472"/>
      <c r="EU20" s="1472"/>
      <c r="EV20" s="1472"/>
      <c r="EW20" s="1472"/>
      <c r="EX20" s="1472"/>
      <c r="EY20" s="1472"/>
      <c r="EZ20" s="1473"/>
      <c r="FA20" s="1473"/>
      <c r="FB20" s="1474"/>
      <c r="FC20" s="1458"/>
      <c r="FD20" s="1458" t="s">
        <v>1863</v>
      </c>
      <c r="FE20" s="1458"/>
      <c r="FF20" s="1458"/>
      <c r="FG20" s="1458"/>
      <c r="FH20" s="1458"/>
      <c r="FI20" s="1458"/>
      <c r="FJ20" s="1458"/>
      <c r="FK20" s="1458"/>
      <c r="FL20" s="1458"/>
      <c r="FM20" s="1458"/>
      <c r="FN20" s="1458"/>
      <c r="FO20" s="1458"/>
      <c r="FP20" s="1458"/>
      <c r="FQ20" s="1458"/>
      <c r="FR20" s="1458"/>
      <c r="FS20" s="1458"/>
      <c r="FT20" s="1458"/>
      <c r="FU20" s="1458"/>
      <c r="FV20" s="1458"/>
      <c r="FW20" s="1458"/>
      <c r="FX20" s="1458"/>
      <c r="FY20" s="1475"/>
      <c r="FZ20" s="1475"/>
      <c r="GA20" s="1475"/>
      <c r="GB20" s="1472"/>
      <c r="GC20" s="1472"/>
      <c r="GD20" s="1472"/>
      <c r="GE20" s="1472"/>
      <c r="GF20" s="1472"/>
      <c r="GG20" s="1472"/>
      <c r="GH20" s="1472"/>
    </row>
    <row r="21" spans="1:190" customFormat="1" ht="23.25" customHeight="1" x14ac:dyDescent="0.3">
      <c r="A21" s="1163" t="s">
        <v>2044</v>
      </c>
      <c r="B21" s="1260" t="s">
        <v>2023</v>
      </c>
      <c r="C21" s="1260" t="s">
        <v>2033</v>
      </c>
      <c r="D21" s="3380"/>
      <c r="E21" s="1260" t="s">
        <v>602</v>
      </c>
      <c r="F21" s="3365">
        <f>ROUND(3281*(1-B56),2)</f>
        <v>3281</v>
      </c>
      <c r="G21" s="3366"/>
      <c r="H21" s="1261"/>
      <c r="I21" s="1261"/>
      <c r="J21" s="1261"/>
      <c r="K21" s="1261"/>
      <c r="L21" s="1261"/>
      <c r="M21" s="1261"/>
      <c r="EN21" s="1472"/>
      <c r="EO21" s="1472"/>
      <c r="EP21" s="1472"/>
      <c r="EQ21" s="1472"/>
      <c r="ER21" s="1472"/>
      <c r="ES21" s="1472"/>
      <c r="ET21" s="1472"/>
      <c r="EU21" s="1472"/>
      <c r="EV21" s="1472"/>
      <c r="EW21" s="1472"/>
      <c r="EX21" s="1472"/>
      <c r="EY21" s="1472"/>
      <c r="EZ21" s="1473"/>
      <c r="FA21" s="1473"/>
      <c r="FB21" s="1474"/>
      <c r="FC21" s="1458"/>
      <c r="FD21" s="1458" t="s">
        <v>1864</v>
      </c>
      <c r="FE21" s="1458"/>
      <c r="FF21" s="1458"/>
      <c r="FG21" s="1458"/>
      <c r="FH21" s="1458"/>
      <c r="FI21" s="1458"/>
      <c r="FJ21" s="1458"/>
      <c r="FK21" s="1458"/>
      <c r="FL21" s="1458"/>
      <c r="FM21" s="1458"/>
      <c r="FN21" s="1458"/>
      <c r="FO21" s="1458"/>
      <c r="FP21" s="1458"/>
      <c r="FQ21" s="1458"/>
      <c r="FR21" s="1458"/>
      <c r="FS21" s="1458"/>
      <c r="FT21" s="1458"/>
      <c r="FU21" s="1458"/>
      <c r="FV21" s="1458"/>
      <c r="FW21" s="1458"/>
      <c r="FX21" s="1458"/>
      <c r="FY21" s="1475"/>
      <c r="FZ21" s="1475"/>
      <c r="GA21" s="1475"/>
      <c r="GB21" s="1472"/>
      <c r="GC21" s="1472"/>
      <c r="GD21" s="1472"/>
      <c r="GE21" s="1472"/>
      <c r="GF21" s="1472"/>
      <c r="GG21" s="1472"/>
      <c r="GH21" s="1472"/>
    </row>
    <row r="22" spans="1:190" customFormat="1" ht="23.25" customHeight="1" x14ac:dyDescent="0.3">
      <c r="A22" s="1163" t="s">
        <v>2045</v>
      </c>
      <c r="B22" s="1260" t="s">
        <v>2023</v>
      </c>
      <c r="C22" s="1260" t="s">
        <v>2043</v>
      </c>
      <c r="D22" s="3380"/>
      <c r="E22" s="1260" t="s">
        <v>602</v>
      </c>
      <c r="F22" s="3365">
        <f>ROUND(3051*(1-B56),2)</f>
        <v>3051</v>
      </c>
      <c r="G22" s="3366"/>
      <c r="H22" s="1261"/>
      <c r="I22" s="1261"/>
      <c r="J22" s="1261"/>
      <c r="K22" s="1261"/>
      <c r="L22" s="1261"/>
      <c r="M22" s="1261"/>
      <c r="EN22" s="1472"/>
      <c r="EO22" s="1472"/>
      <c r="EP22" s="1472"/>
      <c r="EQ22" s="1472"/>
      <c r="ER22" s="1472"/>
      <c r="ES22" s="1472"/>
      <c r="ET22" s="1472"/>
      <c r="EU22" s="1472"/>
      <c r="EV22" s="1472"/>
      <c r="EW22" s="1472"/>
      <c r="EX22" s="1472"/>
      <c r="EY22" s="1472"/>
      <c r="EZ22" s="1473"/>
      <c r="FA22" s="1473"/>
      <c r="FB22" s="1474"/>
      <c r="FC22" s="1458"/>
      <c r="FD22" s="1458" t="s">
        <v>1865</v>
      </c>
      <c r="FE22" s="1458"/>
      <c r="FF22" s="1458"/>
      <c r="FG22" s="1458"/>
      <c r="FH22" s="1458"/>
      <c r="FI22" s="1458"/>
      <c r="FJ22" s="1458"/>
      <c r="FK22" s="1458"/>
      <c r="FL22" s="1458"/>
      <c r="FM22" s="1458"/>
      <c r="FN22" s="1458"/>
      <c r="FO22" s="1458"/>
      <c r="FP22" s="1458"/>
      <c r="FQ22" s="1458"/>
      <c r="FR22" s="1458"/>
      <c r="FS22" s="1458"/>
      <c r="FT22" s="1458"/>
      <c r="FU22" s="1458" t="s">
        <v>1866</v>
      </c>
      <c r="FV22" s="1458" t="str">
        <f ca="1">TEXT(TODAY(),"ДД.ММ.ГГГГ")</f>
        <v>30.05.2016</v>
      </c>
      <c r="FW22" s="1458"/>
      <c r="FX22" s="1458"/>
      <c r="FY22" s="1475"/>
      <c r="FZ22" s="1475"/>
      <c r="GA22" s="1475"/>
      <c r="GB22" s="1472"/>
      <c r="GC22" s="1472"/>
      <c r="GD22" s="1472"/>
      <c r="GE22" s="1472"/>
      <c r="GF22" s="1472"/>
      <c r="GG22" s="1472"/>
      <c r="GH22" s="1472"/>
    </row>
    <row r="23" spans="1:190" customFormat="1" ht="23.25" customHeight="1" x14ac:dyDescent="0.3">
      <c r="A23" s="1163" t="s">
        <v>2028</v>
      </c>
      <c r="B23" s="1260" t="s">
        <v>2023</v>
      </c>
      <c r="C23" s="1260" t="s">
        <v>2029</v>
      </c>
      <c r="D23" s="3369"/>
      <c r="E23" s="1260" t="s">
        <v>602</v>
      </c>
      <c r="F23" s="3365">
        <f>ROUND(4161*(1-B56),2)</f>
        <v>4161</v>
      </c>
      <c r="G23" s="3366"/>
      <c r="H23" s="1261"/>
      <c r="I23" s="1261"/>
      <c r="J23" s="1261"/>
      <c r="K23" s="1261"/>
      <c r="L23" s="1261"/>
      <c r="M23" s="1261"/>
      <c r="EN23" s="1472"/>
      <c r="EO23" s="1472"/>
      <c r="EP23" s="1472"/>
      <c r="EQ23" s="1472"/>
      <c r="ER23" s="1472"/>
      <c r="ES23" s="1472"/>
      <c r="ET23" s="1472"/>
      <c r="EU23" s="1472"/>
      <c r="EV23" s="1472"/>
      <c r="EW23" s="1472"/>
      <c r="EX23" s="1472"/>
      <c r="EY23" s="1472"/>
      <c r="EZ23" s="1473"/>
      <c r="FA23" s="1473"/>
      <c r="FB23" s="1474"/>
      <c r="FC23" s="1458"/>
      <c r="FD23" s="1458" t="s">
        <v>1867</v>
      </c>
      <c r="FE23" s="1458"/>
      <c r="FF23" s="1458"/>
      <c r="FG23" s="1458"/>
      <c r="FH23" s="1458"/>
      <c r="FI23" s="1458"/>
      <c r="FJ23" s="1458"/>
      <c r="FK23" s="1458"/>
      <c r="FL23" s="1458"/>
      <c r="FM23" s="1458"/>
      <c r="FN23" s="1458"/>
      <c r="FO23" s="1458"/>
      <c r="FP23" s="1458"/>
      <c r="FQ23" s="1458"/>
      <c r="FR23" s="1458"/>
      <c r="FS23" s="1458"/>
      <c r="FT23" s="1458"/>
      <c r="FU23" s="1458"/>
      <c r="FV23" s="1458"/>
      <c r="FW23" s="1458"/>
      <c r="FX23" s="1458"/>
      <c r="FY23" s="1475"/>
      <c r="FZ23" s="1475"/>
      <c r="GA23" s="1475"/>
      <c r="GB23" s="1472"/>
      <c r="GC23" s="1472"/>
      <c r="GD23" s="1472"/>
      <c r="GE23" s="1472"/>
      <c r="GF23" s="1472"/>
      <c r="GG23" s="1472"/>
      <c r="GH23" s="1472"/>
    </row>
    <row r="24" spans="1:190" s="1053" customFormat="1" ht="38.25" customHeight="1" x14ac:dyDescent="0.25">
      <c r="A24" s="3367" t="s">
        <v>2046</v>
      </c>
      <c r="B24" s="3367"/>
      <c r="C24" s="3367"/>
      <c r="D24" s="3367"/>
      <c r="E24" s="3367"/>
      <c r="F24" s="3367"/>
      <c r="G24" s="3367"/>
      <c r="H24" s="1263"/>
      <c r="I24" s="1263"/>
      <c r="J24" s="1066"/>
      <c r="EN24" s="1468"/>
      <c r="EO24" s="1468"/>
      <c r="EP24" s="1468"/>
      <c r="EQ24" s="1468"/>
      <c r="ER24" s="1468"/>
      <c r="ES24" s="1468"/>
      <c r="ET24" s="1468"/>
      <c r="EU24" s="1468"/>
      <c r="EV24" s="1468"/>
      <c r="EW24" s="1468"/>
      <c r="EX24" s="1469"/>
      <c r="EY24" s="1469"/>
      <c r="EZ24" s="1470"/>
      <c r="FA24" s="1470"/>
      <c r="FB24" s="1055"/>
      <c r="FC24" s="1055"/>
      <c r="FD24" s="1055" t="s">
        <v>1869</v>
      </c>
      <c r="FE24" s="1055"/>
      <c r="FF24" s="1055"/>
      <c r="FG24" s="1055"/>
      <c r="FH24" s="1055"/>
      <c r="FI24" s="1055"/>
      <c r="FJ24" s="1055"/>
      <c r="FK24" s="1055"/>
      <c r="FL24" s="1055"/>
      <c r="FM24" s="1055"/>
      <c r="FN24" s="1055"/>
      <c r="FO24" s="1055"/>
      <c r="FP24" s="1055"/>
      <c r="FQ24" s="1055"/>
      <c r="FR24" s="1055"/>
      <c r="FS24" s="1055"/>
      <c r="FT24" s="1055"/>
      <c r="FU24" s="1089" t="s">
        <v>1868</v>
      </c>
      <c r="FV24" s="1090">
        <f ca="1">TODAY()-WEEKDAY(TODAY(),1)</f>
        <v>42518</v>
      </c>
      <c r="FW24" s="1055"/>
      <c r="FX24" s="1104"/>
      <c r="FY24" s="1471"/>
      <c r="FZ24" s="1471"/>
      <c r="GA24" s="1471"/>
      <c r="GB24" s="1468"/>
      <c r="GC24" s="1468"/>
      <c r="GD24" s="1468"/>
      <c r="GE24" s="1468"/>
      <c r="GF24" s="1468"/>
      <c r="GG24" s="1468"/>
      <c r="GH24" s="1468"/>
    </row>
    <row r="25" spans="1:190" customFormat="1" ht="25.5" customHeight="1" x14ac:dyDescent="0.3">
      <c r="A25" s="1163" t="s">
        <v>2047</v>
      </c>
      <c r="B25" s="1260" t="s">
        <v>405</v>
      </c>
      <c r="C25" s="1260" t="s">
        <v>2027</v>
      </c>
      <c r="D25" s="1498" t="s">
        <v>2224</v>
      </c>
      <c r="E25" s="1260" t="s">
        <v>602</v>
      </c>
      <c r="F25" s="1260">
        <f>ROUND(689*(1-B55),2)</f>
        <v>689</v>
      </c>
      <c r="G25" s="1260">
        <f>ROUND(1353*(1-B55),2)</f>
        <v>1353</v>
      </c>
      <c r="H25" s="1261"/>
      <c r="I25" s="1261"/>
      <c r="J25" s="1261"/>
      <c r="K25" s="1261"/>
      <c r="L25" s="1261"/>
      <c r="M25" s="1261"/>
      <c r="EN25" s="1472"/>
      <c r="EO25" s="1472"/>
      <c r="EP25" s="1472"/>
      <c r="EQ25" s="1472"/>
      <c r="ER25" s="1472"/>
      <c r="ES25" s="1472"/>
      <c r="ET25" s="1472"/>
      <c r="EU25" s="1472"/>
      <c r="EV25" s="1472"/>
      <c r="EW25" s="1472"/>
      <c r="EX25" s="1472"/>
      <c r="EY25" s="1472"/>
      <c r="EZ25" s="1473"/>
      <c r="FA25" s="1473"/>
      <c r="FB25" s="1474"/>
      <c r="FC25" s="1458"/>
      <c r="FD25" s="1458" t="s">
        <v>1849</v>
      </c>
      <c r="FE25" s="1458"/>
      <c r="FF25" s="1458"/>
      <c r="FG25" s="1458"/>
      <c r="FH25" s="1458"/>
      <c r="FI25" s="1458"/>
      <c r="FJ25" s="1458"/>
      <c r="FK25" s="1458"/>
      <c r="FL25" s="1458"/>
      <c r="FM25" s="1458"/>
      <c r="FN25" s="1458"/>
      <c r="FO25" s="1458"/>
      <c r="FP25" s="1458"/>
      <c r="FQ25" s="1458"/>
      <c r="FR25" s="1458"/>
      <c r="FS25" s="1458"/>
      <c r="FT25" s="1458"/>
      <c r="FU25" s="1458" t="s">
        <v>1870</v>
      </c>
      <c r="FV25" s="1458">
        <f ca="1">VLOOKUP(FV24,cbr_1,3,1)</f>
        <v>85.654300000000006</v>
      </c>
      <c r="FW25" s="1458"/>
      <c r="FX25" s="1458"/>
      <c r="FY25" s="1475"/>
      <c r="FZ25" s="1475"/>
      <c r="GA25" s="1475"/>
      <c r="GB25" s="1472"/>
      <c r="GC25" s="1472"/>
      <c r="GD25" s="1472"/>
      <c r="GE25" s="1472"/>
      <c r="GF25" s="1472"/>
      <c r="GG25" s="1472"/>
      <c r="GH25" s="1472"/>
    </row>
    <row r="26" spans="1:190" customFormat="1" ht="23.25" customHeight="1" x14ac:dyDescent="0.3">
      <c r="A26" s="1444" t="s">
        <v>2048</v>
      </c>
      <c r="B26" s="1462" t="s">
        <v>2023</v>
      </c>
      <c r="C26" s="1462" t="s">
        <v>2205</v>
      </c>
      <c r="D26" s="1494" t="s">
        <v>2223</v>
      </c>
      <c r="E26" s="1462" t="s">
        <v>602</v>
      </c>
      <c r="F26" s="3377">
        <f>ROUND(2129*(1-B56),2)</f>
        <v>2129</v>
      </c>
      <c r="G26" s="3378"/>
      <c r="H26" s="1261"/>
      <c r="I26" s="1261"/>
      <c r="J26" s="1261"/>
      <c r="K26" s="1261"/>
      <c r="L26" s="1261"/>
      <c r="M26" s="1261"/>
      <c r="EN26" s="1472"/>
      <c r="EO26" s="1472"/>
      <c r="EP26" s="1472"/>
      <c r="EQ26" s="1472"/>
      <c r="ER26" s="1472"/>
      <c r="ES26" s="1472"/>
      <c r="ET26" s="1472"/>
      <c r="EU26" s="1472"/>
      <c r="EV26" s="1472"/>
      <c r="EW26" s="1472"/>
      <c r="EX26" s="1472"/>
      <c r="EY26" s="1472"/>
      <c r="EZ26" s="1473"/>
      <c r="FA26" s="1473"/>
      <c r="FB26" s="1474"/>
      <c r="FC26" s="1458"/>
      <c r="FD26" s="1458" t="s">
        <v>1854</v>
      </c>
      <c r="FE26" s="1458"/>
      <c r="FF26" s="1458"/>
      <c r="FG26" s="1458"/>
      <c r="FH26" s="1458"/>
      <c r="FI26" s="1458"/>
      <c r="FJ26" s="1458"/>
      <c r="FK26" s="1458"/>
      <c r="FL26" s="1458"/>
      <c r="FM26" s="1458"/>
      <c r="FN26" s="1458"/>
      <c r="FO26" s="1458"/>
      <c r="FP26" s="1458"/>
      <c r="FQ26" s="1458"/>
      <c r="FR26" s="1458"/>
      <c r="FS26" s="1458"/>
      <c r="FT26" s="1458"/>
      <c r="FU26" s="1458" t="s">
        <v>2211</v>
      </c>
      <c r="FV26" s="1458">
        <f ca="1">VLOOKUP(FV22-1,cbr_1,3,1)</f>
        <v>85.654300000000006</v>
      </c>
      <c r="FW26" s="1458"/>
      <c r="FX26" s="1458"/>
      <c r="FY26" s="1475"/>
      <c r="FZ26" s="1475"/>
      <c r="GA26" s="1475"/>
      <c r="GB26" s="1472"/>
      <c r="GC26" s="1472"/>
      <c r="GD26" s="1472"/>
      <c r="GE26" s="1472"/>
      <c r="GF26" s="1472"/>
      <c r="GG26" s="1472"/>
      <c r="GH26" s="1472"/>
    </row>
    <row r="27" spans="1:190" s="1053" customFormat="1" ht="17.25" customHeight="1" x14ac:dyDescent="0.25">
      <c r="A27" s="3372" t="s">
        <v>2049</v>
      </c>
      <c r="B27" s="3372"/>
      <c r="C27" s="3372"/>
      <c r="D27" s="3372"/>
      <c r="E27" s="3372"/>
      <c r="F27" s="3372"/>
      <c r="G27" s="3372"/>
      <c r="H27" s="1264"/>
      <c r="I27" s="1264"/>
      <c r="J27" s="1066"/>
      <c r="EN27" s="1468"/>
      <c r="EO27" s="1468"/>
      <c r="EP27" s="1468"/>
      <c r="EQ27" s="1468"/>
      <c r="ER27" s="1468"/>
      <c r="ES27" s="1468"/>
      <c r="ET27" s="1468"/>
      <c r="EU27" s="1468"/>
      <c r="EV27" s="1468"/>
      <c r="EW27" s="1468"/>
      <c r="EX27" s="1469"/>
      <c r="EY27" s="1469"/>
      <c r="EZ27" s="1470"/>
      <c r="FA27" s="1470"/>
      <c r="FB27" s="1055"/>
      <c r="FC27" s="1055"/>
      <c r="FD27" s="1055" t="s">
        <v>1848</v>
      </c>
      <c r="FE27" s="1055"/>
      <c r="FF27" s="1055"/>
      <c r="FG27" s="1055"/>
      <c r="FH27" s="1055"/>
      <c r="FI27" s="1055"/>
      <c r="FJ27" s="1055"/>
      <c r="FK27" s="1055"/>
      <c r="FL27" s="1055"/>
      <c r="FM27" s="1055"/>
      <c r="FN27" s="1055"/>
      <c r="FO27" s="1055"/>
      <c r="FP27" s="1055"/>
      <c r="FQ27" s="1055"/>
      <c r="FR27" s="1055"/>
      <c r="FS27" s="1055"/>
      <c r="FT27" s="1055"/>
      <c r="FU27" s="1055"/>
      <c r="FV27" s="1055"/>
      <c r="FW27" s="1055"/>
      <c r="FX27" s="1055"/>
      <c r="FY27" s="1471"/>
      <c r="FZ27" s="1471"/>
      <c r="GA27" s="1471"/>
      <c r="GB27" s="1468"/>
      <c r="GC27" s="1468"/>
      <c r="GD27" s="1468"/>
      <c r="GE27" s="1468"/>
      <c r="GF27" s="1468"/>
      <c r="GG27" s="1468"/>
      <c r="GH27" s="1468"/>
    </row>
    <row r="28" spans="1:190" s="1053" customFormat="1" ht="37.5" customHeight="1" x14ac:dyDescent="0.25">
      <c r="A28" s="3373" t="s">
        <v>2119</v>
      </c>
      <c r="B28" s="3373"/>
      <c r="C28" s="3373"/>
      <c r="D28" s="3373"/>
      <c r="E28" s="3373"/>
      <c r="F28" s="3373"/>
      <c r="G28" s="3373"/>
      <c r="H28" s="1264"/>
      <c r="I28" s="1264"/>
      <c r="J28" s="1066"/>
      <c r="EN28" s="1468"/>
      <c r="EO28" s="1468"/>
      <c r="EP28" s="1468"/>
      <c r="EQ28" s="1468"/>
      <c r="ER28" s="1468"/>
      <c r="ES28" s="1468"/>
      <c r="ET28" s="1468"/>
      <c r="EU28" s="1468"/>
      <c r="EV28" s="1468"/>
      <c r="EW28" s="1468"/>
      <c r="EX28" s="1469"/>
      <c r="EY28" s="1469"/>
      <c r="EZ28" s="1470"/>
      <c r="FA28" s="1470"/>
      <c r="FB28" s="1055"/>
      <c r="FC28" s="1055"/>
      <c r="FD28" s="1055" t="s">
        <v>1871</v>
      </c>
      <c r="FE28" s="1055"/>
      <c r="FF28" s="1055"/>
      <c r="FG28" s="1055"/>
      <c r="FH28" s="1055"/>
      <c r="FI28" s="1055"/>
      <c r="FJ28" s="1055"/>
      <c r="FK28" s="1055"/>
      <c r="FL28" s="1055"/>
      <c r="FM28" s="1055"/>
      <c r="FN28" s="1055"/>
      <c r="FO28" s="1055"/>
      <c r="FP28" s="1055"/>
      <c r="FQ28" s="1055"/>
      <c r="FR28" s="1055"/>
      <c r="FS28" s="1055"/>
      <c r="FT28" s="1055"/>
      <c r="FU28" s="1055"/>
      <c r="FV28" s="1055"/>
      <c r="FW28" s="1055"/>
      <c r="FX28" s="1055"/>
      <c r="FY28" s="1471"/>
      <c r="FZ28" s="1471"/>
      <c r="GA28" s="1471"/>
      <c r="GB28" s="1468"/>
      <c r="GC28" s="1468"/>
      <c r="GD28" s="1468"/>
      <c r="GE28" s="1468"/>
      <c r="GF28" s="1468"/>
      <c r="GG28" s="1468"/>
      <c r="GH28" s="1468"/>
    </row>
    <row r="29" spans="1:190" customFormat="1" ht="23.25" customHeight="1" x14ac:dyDescent="0.3">
      <c r="A29" s="1163" t="s">
        <v>2050</v>
      </c>
      <c r="B29" s="1260" t="s">
        <v>405</v>
      </c>
      <c r="C29" s="1260" t="s">
        <v>2051</v>
      </c>
      <c r="D29" s="3379" t="s">
        <v>2224</v>
      </c>
      <c r="E29" s="1260" t="s">
        <v>602</v>
      </c>
      <c r="F29" s="1260">
        <f>ROUND(600*(1-B55),2)</f>
        <v>600</v>
      </c>
      <c r="G29" s="1260">
        <f>ROUND(1100*(1-B55),2)</f>
        <v>1100</v>
      </c>
      <c r="H29" s="1261"/>
      <c r="I29" s="1261"/>
      <c r="J29" s="1261"/>
      <c r="K29" s="1261"/>
      <c r="L29" s="1261"/>
      <c r="M29" s="1261"/>
      <c r="EN29" s="1472"/>
      <c r="EO29" s="1472"/>
      <c r="EP29" s="1472"/>
      <c r="EQ29" s="1472"/>
      <c r="ER29" s="1472"/>
      <c r="ES29" s="1472"/>
      <c r="ET29" s="1472"/>
      <c r="EU29" s="1472"/>
      <c r="EV29" s="1472"/>
      <c r="EW29" s="1472"/>
      <c r="EX29" s="1472"/>
      <c r="EY29" s="1472"/>
      <c r="EZ29" s="1473"/>
      <c r="FA29" s="1473"/>
      <c r="FB29" s="1474"/>
      <c r="FC29" s="1458"/>
      <c r="FD29" s="1458" t="s">
        <v>1872</v>
      </c>
      <c r="FE29" s="1458"/>
      <c r="FF29" s="1458"/>
      <c r="FG29" s="1458"/>
      <c r="FH29" s="1458"/>
      <c r="FI29" s="1458"/>
      <c r="FJ29" s="1458"/>
      <c r="FK29" s="1458"/>
      <c r="FL29" s="1458"/>
      <c r="FM29" s="1458"/>
      <c r="FN29" s="1458"/>
      <c r="FO29" s="1458"/>
      <c r="FP29" s="1458"/>
      <c r="FQ29" s="1458"/>
      <c r="FR29" s="1458"/>
      <c r="FS29" s="1458"/>
      <c r="FT29" s="1458"/>
      <c r="FU29" s="1458"/>
      <c r="FV29" s="1458"/>
      <c r="FW29" s="1458"/>
      <c r="FX29" s="1458"/>
      <c r="FY29" s="1475"/>
      <c r="FZ29" s="1475"/>
      <c r="GA29" s="1475"/>
      <c r="GB29" s="1472"/>
      <c r="GC29" s="1472"/>
      <c r="GD29" s="1472"/>
      <c r="GE29" s="1472"/>
      <c r="GF29" s="1472"/>
      <c r="GG29" s="1472"/>
      <c r="GH29" s="1472"/>
    </row>
    <row r="30" spans="1:190" customFormat="1" ht="23.25" customHeight="1" x14ac:dyDescent="0.3">
      <c r="A30" s="1163" t="s">
        <v>2052</v>
      </c>
      <c r="B30" s="1260" t="s">
        <v>405</v>
      </c>
      <c r="C30" s="1260" t="s">
        <v>2021</v>
      </c>
      <c r="D30" s="3369"/>
      <c r="E30" s="1260" t="s">
        <v>602</v>
      </c>
      <c r="F30" s="1260">
        <f>ROUND(689*(1-B55),2)</f>
        <v>689</v>
      </c>
      <c r="G30" s="1260">
        <f>ROUND(1353*(1-B55),2)</f>
        <v>1353</v>
      </c>
      <c r="H30" s="1261"/>
      <c r="I30" s="1261"/>
      <c r="J30" s="1261"/>
      <c r="K30" s="1261"/>
      <c r="L30" s="1261"/>
      <c r="M30" s="1261"/>
      <c r="EN30" s="1472"/>
      <c r="EO30" s="1472"/>
      <c r="EP30" s="1472"/>
      <c r="EQ30" s="1472"/>
      <c r="ER30" s="1472"/>
      <c r="ES30" s="1472"/>
      <c r="ET30" s="1472"/>
      <c r="EU30" s="1472"/>
      <c r="EV30" s="1472"/>
      <c r="EW30" s="1472"/>
      <c r="EX30" s="1472"/>
      <c r="EY30" s="1472"/>
      <c r="EZ30" s="1473"/>
      <c r="FA30" s="1473"/>
      <c r="FB30" s="1474"/>
      <c r="FC30" s="1458"/>
      <c r="FD30" s="1458" t="s">
        <v>1873</v>
      </c>
      <c r="FE30" s="1458"/>
      <c r="FF30" s="1458"/>
      <c r="FG30" s="1458"/>
      <c r="FH30" s="1458"/>
      <c r="FI30" s="1458"/>
      <c r="FJ30" s="1458"/>
      <c r="FK30" s="1458"/>
      <c r="FL30" s="1458"/>
      <c r="FM30" s="1458"/>
      <c r="FN30" s="1458"/>
      <c r="FO30" s="1458"/>
      <c r="FP30" s="1458"/>
      <c r="FQ30" s="1458"/>
      <c r="FR30" s="1458"/>
      <c r="FS30" s="1458"/>
      <c r="FT30" s="1458"/>
      <c r="FU30" s="1458"/>
      <c r="FV30" s="1458"/>
      <c r="FW30" s="1458"/>
      <c r="FX30" s="1458"/>
      <c r="FY30" s="1475"/>
      <c r="FZ30" s="1475"/>
      <c r="GA30" s="1475"/>
      <c r="GB30" s="1472"/>
      <c r="GC30" s="1472"/>
      <c r="GD30" s="1472"/>
      <c r="GE30" s="1472"/>
      <c r="GF30" s="1472"/>
      <c r="GG30" s="1472"/>
      <c r="GH30" s="1472"/>
    </row>
    <row r="31" spans="1:190" customFormat="1" ht="23.25" customHeight="1" x14ac:dyDescent="0.3">
      <c r="A31" s="1163" t="s">
        <v>2053</v>
      </c>
      <c r="B31" s="1260" t="s">
        <v>405</v>
      </c>
      <c r="C31" s="1260" t="s">
        <v>2043</v>
      </c>
      <c r="D31" s="1260" t="s">
        <v>2223</v>
      </c>
      <c r="E31" s="1260" t="s">
        <v>602</v>
      </c>
      <c r="F31" s="3363">
        <f>ROUND(1680*(1-B56),2)</f>
        <v>1680</v>
      </c>
      <c r="G31" s="3364"/>
      <c r="H31" s="1261"/>
      <c r="I31" s="1261"/>
      <c r="J31" s="1261"/>
      <c r="K31" s="1261"/>
      <c r="L31" s="1261"/>
      <c r="M31" s="1261"/>
      <c r="EN31" s="1472"/>
      <c r="EO31" s="1472"/>
      <c r="EP31" s="1472"/>
      <c r="EQ31" s="1472"/>
      <c r="ER31" s="1472"/>
      <c r="ES31" s="1472"/>
      <c r="ET31" s="1472"/>
      <c r="EU31" s="1472"/>
      <c r="EV31" s="1472"/>
      <c r="EW31" s="1472"/>
      <c r="EX31" s="1472"/>
      <c r="EY31" s="1472"/>
      <c r="EZ31" s="1473"/>
      <c r="FA31" s="1473"/>
      <c r="FB31" s="1474"/>
      <c r="FC31" s="1458"/>
      <c r="FD31" s="1458" t="s">
        <v>1874</v>
      </c>
      <c r="FE31" s="1458"/>
      <c r="FF31" s="1458"/>
      <c r="FG31" s="1458"/>
      <c r="FH31" s="1458"/>
      <c r="FI31" s="1458"/>
      <c r="FJ31" s="1458"/>
      <c r="FK31" s="1458"/>
      <c r="FL31" s="1458"/>
      <c r="FM31" s="1458"/>
      <c r="FN31" s="1458"/>
      <c r="FO31" s="1458"/>
      <c r="FP31" s="1458"/>
      <c r="FQ31" s="1458"/>
      <c r="FR31" s="1458"/>
      <c r="FS31" s="1458"/>
      <c r="FT31" s="1458"/>
      <c r="FU31" s="1458"/>
      <c r="FV31" s="1458"/>
      <c r="FW31" s="1458"/>
      <c r="FX31" s="1458"/>
      <c r="FY31" s="1475"/>
      <c r="FZ31" s="1475"/>
      <c r="GA31" s="1475"/>
      <c r="GB31" s="1472"/>
      <c r="GC31" s="1472"/>
      <c r="GD31" s="1472"/>
      <c r="GE31" s="1472"/>
      <c r="GF31" s="1472"/>
      <c r="GG31" s="1472"/>
      <c r="GH31" s="1472"/>
    </row>
    <row r="32" spans="1:190" customFormat="1" ht="23.25" customHeight="1" x14ac:dyDescent="0.3">
      <c r="A32" s="1163" t="s">
        <v>2054</v>
      </c>
      <c r="B32" s="1260" t="s">
        <v>2023</v>
      </c>
      <c r="C32" s="1260" t="s">
        <v>2043</v>
      </c>
      <c r="D32" s="1260" t="s">
        <v>2223</v>
      </c>
      <c r="E32" s="1260" t="s">
        <v>602</v>
      </c>
      <c r="F32" s="3365">
        <f>ROUND(3051*(1-B56),2)</f>
        <v>3051</v>
      </c>
      <c r="G32" s="3366"/>
      <c r="H32" s="1261"/>
      <c r="I32" s="1261"/>
      <c r="J32" s="1261"/>
      <c r="K32" s="1261"/>
      <c r="L32" s="1261"/>
      <c r="M32" s="1261"/>
      <c r="EN32" s="1472"/>
      <c r="EO32" s="1472"/>
      <c r="EP32" s="1472"/>
      <c r="EQ32" s="1472"/>
      <c r="ER32" s="1472"/>
      <c r="ES32" s="1472"/>
      <c r="ET32" s="1472"/>
      <c r="EU32" s="1472"/>
      <c r="EV32" s="1472"/>
      <c r="EW32" s="1472"/>
      <c r="EX32" s="1472"/>
      <c r="EY32" s="1472"/>
      <c r="EZ32" s="1473"/>
      <c r="FA32" s="1473"/>
      <c r="FB32" s="1474"/>
      <c r="FC32" s="1458"/>
      <c r="FD32" s="1458" t="s">
        <v>1862</v>
      </c>
      <c r="FE32" s="1458"/>
      <c r="FF32" s="1458"/>
      <c r="FG32" s="1458"/>
      <c r="FH32" s="1458"/>
      <c r="FI32" s="1458"/>
      <c r="FJ32" s="1458"/>
      <c r="FK32" s="1458"/>
      <c r="FL32" s="1458"/>
      <c r="FM32" s="1458"/>
      <c r="FN32" s="1458"/>
      <c r="FO32" s="1458"/>
      <c r="FP32" s="1458"/>
      <c r="FQ32" s="1458"/>
      <c r="FR32" s="1458"/>
      <c r="FS32" s="1458"/>
      <c r="FT32" s="1458"/>
      <c r="FU32" s="1458"/>
      <c r="FV32" s="1458"/>
      <c r="FW32" s="1458"/>
      <c r="FX32" s="1458"/>
      <c r="FY32" s="1475"/>
      <c r="FZ32" s="1475"/>
      <c r="GA32" s="1475"/>
      <c r="GB32" s="1472"/>
      <c r="GC32" s="1472"/>
      <c r="GD32" s="1472"/>
      <c r="GE32" s="1472"/>
      <c r="GF32" s="1472"/>
      <c r="GG32" s="1472"/>
      <c r="GH32" s="1472"/>
    </row>
    <row r="33" spans="1:190" s="1053" customFormat="1" ht="48" customHeight="1" x14ac:dyDescent="0.25">
      <c r="A33" s="3367" t="s">
        <v>3402</v>
      </c>
      <c r="B33" s="3367"/>
      <c r="C33" s="3367"/>
      <c r="D33" s="3367"/>
      <c r="E33" s="3367"/>
      <c r="F33" s="3367"/>
      <c r="G33" s="3367"/>
      <c r="H33" s="1265"/>
      <c r="I33" s="1265"/>
      <c r="J33" s="1066"/>
      <c r="EN33" s="1468"/>
      <c r="EO33" s="1468"/>
      <c r="EP33" s="1468"/>
      <c r="EQ33" s="1468"/>
      <c r="ER33" s="1468"/>
      <c r="ES33" s="1468"/>
      <c r="ET33" s="1468"/>
      <c r="EU33" s="1468"/>
      <c r="EV33" s="1468"/>
      <c r="EW33" s="1468"/>
      <c r="EX33" s="1469"/>
      <c r="EY33" s="1469"/>
      <c r="EZ33" s="1470"/>
      <c r="FA33" s="1470"/>
      <c r="FB33" s="1055"/>
      <c r="FC33" s="1055"/>
      <c r="FD33" s="1055" t="s">
        <v>1875</v>
      </c>
      <c r="FE33" s="1055"/>
      <c r="FF33" s="1055"/>
      <c r="FG33" s="1055"/>
      <c r="FH33" s="1055"/>
      <c r="FI33" s="1055"/>
      <c r="FJ33" s="1055"/>
      <c r="FK33" s="1055"/>
      <c r="FL33" s="1055"/>
      <c r="FM33" s="1055"/>
      <c r="FN33" s="1055"/>
      <c r="FO33" s="1055"/>
      <c r="FP33" s="1055"/>
      <c r="FQ33" s="1055"/>
      <c r="FR33" s="1055"/>
      <c r="FS33" s="1055"/>
      <c r="FT33" s="1055"/>
      <c r="FU33" s="1055"/>
      <c r="FV33" s="1055"/>
      <c r="FW33" s="1055"/>
      <c r="FX33" s="1055"/>
      <c r="FY33" s="1471"/>
      <c r="FZ33" s="1471"/>
      <c r="GA33" s="1471"/>
      <c r="GB33" s="1468"/>
      <c r="GC33" s="1468"/>
      <c r="GD33" s="1468"/>
      <c r="GE33" s="1468"/>
      <c r="GF33" s="1468"/>
      <c r="GG33" s="1468"/>
      <c r="GH33" s="1468"/>
    </row>
    <row r="34" spans="1:190" customFormat="1" ht="23.25" customHeight="1" x14ac:dyDescent="0.3">
      <c r="A34" s="1163" t="s">
        <v>2055</v>
      </c>
      <c r="B34" s="1260" t="s">
        <v>2023</v>
      </c>
      <c r="C34" s="1260" t="s">
        <v>2033</v>
      </c>
      <c r="D34" s="3368" t="s">
        <v>2223</v>
      </c>
      <c r="E34" s="1260" t="s">
        <v>602</v>
      </c>
      <c r="F34" s="3365">
        <f>ROUND(5419*(1-B56),2)</f>
        <v>5419</v>
      </c>
      <c r="G34" s="3366"/>
      <c r="H34" s="1261"/>
      <c r="I34" s="1261"/>
      <c r="J34" s="1261"/>
      <c r="K34" s="1261"/>
      <c r="L34" s="1261"/>
      <c r="M34" s="1261"/>
      <c r="EN34" s="1472"/>
      <c r="EO34" s="1472"/>
      <c r="EP34" s="1472"/>
      <c r="EQ34" s="1472"/>
      <c r="ER34" s="1472"/>
      <c r="ES34" s="1472"/>
      <c r="ET34" s="1472"/>
      <c r="EU34" s="1472"/>
      <c r="EV34" s="1472"/>
      <c r="EW34" s="1472"/>
      <c r="EX34" s="1472"/>
      <c r="EY34" s="1472"/>
      <c r="EZ34" s="1473"/>
      <c r="FA34" s="1473"/>
      <c r="FB34" s="1474"/>
      <c r="FC34" s="1458"/>
      <c r="FD34" s="1458" t="s">
        <v>1876</v>
      </c>
      <c r="FE34" s="1458"/>
      <c r="FF34" s="1458"/>
      <c r="FG34" s="1458"/>
      <c r="FH34" s="1458"/>
      <c r="FI34" s="1458"/>
      <c r="FJ34" s="1458"/>
      <c r="FK34" s="1458"/>
      <c r="FL34" s="1458"/>
      <c r="FM34" s="1458"/>
      <c r="FN34" s="1458"/>
      <c r="FO34" s="1458"/>
      <c r="FP34" s="1458"/>
      <c r="FQ34" s="1458"/>
      <c r="FR34" s="1458"/>
      <c r="FS34" s="1458"/>
      <c r="FT34" s="1458"/>
      <c r="FU34" s="1458"/>
      <c r="FV34" s="1458"/>
      <c r="FW34" s="1458"/>
      <c r="FX34" s="1458"/>
      <c r="FY34" s="1475"/>
      <c r="FZ34" s="1475"/>
      <c r="GA34" s="1475"/>
      <c r="GB34" s="1472"/>
      <c r="GC34" s="1472"/>
      <c r="GD34" s="1472"/>
      <c r="GE34" s="1472"/>
      <c r="GF34" s="1472"/>
      <c r="GG34" s="1472"/>
      <c r="GH34" s="1472"/>
    </row>
    <row r="35" spans="1:190" customFormat="1" ht="23.25" customHeight="1" x14ac:dyDescent="0.3">
      <c r="A35" s="1163" t="s">
        <v>2464</v>
      </c>
      <c r="B35" s="1260" t="s">
        <v>2031</v>
      </c>
      <c r="C35" s="1260" t="s">
        <v>2056</v>
      </c>
      <c r="D35" s="3369"/>
      <c r="E35" s="1260" t="s">
        <v>602</v>
      </c>
      <c r="F35" s="3370">
        <f>ROUND(10550*(1-B57),2)</f>
        <v>10550</v>
      </c>
      <c r="G35" s="3371"/>
      <c r="H35" s="1261"/>
      <c r="I35" s="1261"/>
      <c r="J35" s="1261"/>
      <c r="K35" s="1261"/>
      <c r="L35" s="1261"/>
      <c r="M35" s="1261"/>
      <c r="EN35" s="1472"/>
      <c r="EO35" s="1472"/>
      <c r="EP35" s="1472"/>
      <c r="EQ35" s="1472"/>
      <c r="ER35" s="1472"/>
      <c r="ES35" s="1472"/>
      <c r="ET35" s="1472"/>
      <c r="EU35" s="1472"/>
      <c r="EV35" s="1472"/>
      <c r="EW35" s="1472"/>
      <c r="EX35" s="1472"/>
      <c r="EY35" s="1472"/>
      <c r="EZ35" s="1473"/>
      <c r="FA35" s="1473"/>
      <c r="FB35" s="1474"/>
      <c r="FC35" s="1458"/>
      <c r="FD35" s="1458" t="s">
        <v>1877</v>
      </c>
      <c r="FE35" s="1458"/>
      <c r="FF35" s="1458"/>
      <c r="FG35" s="1458"/>
      <c r="FH35" s="1458"/>
      <c r="FI35" s="1458"/>
      <c r="FJ35" s="1458"/>
      <c r="FK35" s="1458"/>
      <c r="FL35" s="1458"/>
      <c r="FM35" s="1458"/>
      <c r="FN35" s="1458"/>
      <c r="FO35" s="1458"/>
      <c r="FP35" s="1458"/>
      <c r="FQ35" s="1458"/>
      <c r="FR35" s="1458"/>
      <c r="FS35" s="1458"/>
      <c r="FT35" s="1458"/>
      <c r="FU35" s="1458"/>
      <c r="FV35" s="1458"/>
      <c r="FW35" s="1458"/>
      <c r="FX35" s="1458"/>
      <c r="FY35" s="1475"/>
      <c r="FZ35" s="1475"/>
      <c r="GA35" s="1475"/>
      <c r="GB35" s="1472"/>
      <c r="GC35" s="1472"/>
      <c r="GD35" s="1472"/>
      <c r="GE35" s="1472"/>
      <c r="GF35" s="1472"/>
      <c r="GG35" s="1472"/>
      <c r="GH35" s="1472"/>
    </row>
    <row r="36" spans="1:190" s="1053" customFormat="1" ht="49.5" customHeight="1" x14ac:dyDescent="0.25">
      <c r="A36" s="3367" t="s">
        <v>3403</v>
      </c>
      <c r="B36" s="3367"/>
      <c r="C36" s="3367"/>
      <c r="D36" s="3367"/>
      <c r="E36" s="3367"/>
      <c r="F36" s="3367"/>
      <c r="G36" s="3367"/>
      <c r="H36" s="1262"/>
      <c r="I36" s="1262"/>
      <c r="J36" s="1066"/>
      <c r="EN36" s="1468"/>
      <c r="EO36" s="1468"/>
      <c r="EP36" s="1468"/>
      <c r="EQ36" s="1468"/>
      <c r="ER36" s="1468"/>
      <c r="ES36" s="1468"/>
      <c r="ET36" s="1468"/>
      <c r="EU36" s="1468"/>
      <c r="EV36" s="1468"/>
      <c r="EW36" s="1468"/>
      <c r="EX36" s="1469"/>
      <c r="EY36" s="1469"/>
      <c r="EZ36" s="1470"/>
      <c r="FA36" s="1470"/>
      <c r="FB36" s="1055"/>
      <c r="FC36" s="1055"/>
      <c r="FD36" s="1055" t="s">
        <v>1878</v>
      </c>
      <c r="FE36" s="1055"/>
      <c r="FF36" s="1055"/>
      <c r="FG36" s="1055"/>
      <c r="FH36" s="1055"/>
      <c r="FI36" s="1055"/>
      <c r="FJ36" s="1055"/>
      <c r="FK36" s="1055"/>
      <c r="FL36" s="1055"/>
      <c r="FM36" s="1055"/>
      <c r="FN36" s="1055"/>
      <c r="FO36" s="1055"/>
      <c r="FP36" s="1055"/>
      <c r="FQ36" s="1055"/>
      <c r="FR36" s="1055"/>
      <c r="FS36" s="1055"/>
      <c r="FT36" s="1055"/>
      <c r="FU36" s="1055"/>
      <c r="FV36" s="1055"/>
      <c r="FW36" s="1055"/>
      <c r="FX36" s="1055"/>
      <c r="FY36" s="1471"/>
      <c r="FZ36" s="1471"/>
      <c r="GA36" s="1471"/>
      <c r="GB36" s="1468"/>
      <c r="GC36" s="1468"/>
      <c r="GD36" s="1468"/>
      <c r="GE36" s="1468"/>
      <c r="GF36" s="1468"/>
      <c r="GG36" s="1468"/>
      <c r="GH36" s="1468"/>
    </row>
    <row r="37" spans="1:190" customFormat="1" ht="23.25" customHeight="1" x14ac:dyDescent="0.3">
      <c r="A37" s="1444" t="s">
        <v>2057</v>
      </c>
      <c r="B37" s="1462" t="s">
        <v>2023</v>
      </c>
      <c r="C37" s="1462" t="s">
        <v>2021</v>
      </c>
      <c r="D37" s="1494" t="s">
        <v>2223</v>
      </c>
      <c r="E37" s="1462" t="s">
        <v>602</v>
      </c>
      <c r="F37" s="3365">
        <f>ROUND(4190*(1-B56),2)</f>
        <v>4190</v>
      </c>
      <c r="G37" s="3366"/>
      <c r="H37" s="1261"/>
      <c r="I37" s="1261"/>
      <c r="J37" s="1261"/>
      <c r="K37" s="1261"/>
      <c r="L37" s="1261"/>
      <c r="M37" s="1261"/>
      <c r="EN37" s="1472"/>
      <c r="EO37" s="1472"/>
      <c r="EP37" s="1472"/>
      <c r="EQ37" s="1472"/>
      <c r="ER37" s="1472"/>
      <c r="ES37" s="1472"/>
      <c r="ET37" s="1472"/>
      <c r="EU37" s="1472"/>
      <c r="EV37" s="1472"/>
      <c r="EW37" s="1472"/>
      <c r="EX37" s="1472"/>
      <c r="EY37" s="1472"/>
      <c r="EZ37" s="1473"/>
      <c r="FA37" s="1473"/>
      <c r="FB37" s="1474"/>
      <c r="FC37" s="1458"/>
      <c r="FD37" s="1458"/>
      <c r="FE37" s="1458"/>
      <c r="FF37" s="1458"/>
      <c r="FG37" s="1458"/>
      <c r="FH37" s="1458"/>
      <c r="FI37" s="1458"/>
      <c r="FJ37" s="1458"/>
      <c r="FK37" s="1458"/>
      <c r="FL37" s="1458"/>
      <c r="FM37" s="1458"/>
      <c r="FN37" s="1458"/>
      <c r="FO37" s="1458"/>
      <c r="FP37" s="1458"/>
      <c r="FQ37" s="1458"/>
      <c r="FR37" s="1458"/>
      <c r="FS37" s="1458"/>
      <c r="FT37" s="1458"/>
      <c r="FU37" s="1458"/>
      <c r="FV37" s="1458"/>
      <c r="FW37" s="1458"/>
      <c r="FX37" s="1458"/>
      <c r="FY37" s="1475"/>
      <c r="FZ37" s="1475"/>
      <c r="GA37" s="1475"/>
      <c r="GB37" s="1472"/>
      <c r="GC37" s="1472"/>
      <c r="GD37" s="1472"/>
      <c r="GE37" s="1472"/>
      <c r="GF37" s="1472"/>
      <c r="GG37" s="1472"/>
      <c r="GH37" s="1472"/>
    </row>
    <row r="38" spans="1:190" customFormat="1" ht="23.25" customHeight="1" x14ac:dyDescent="0.3">
      <c r="A38" s="1163" t="s">
        <v>2851</v>
      </c>
      <c r="B38" s="1260" t="s">
        <v>405</v>
      </c>
      <c r="C38" s="1260" t="s">
        <v>2207</v>
      </c>
      <c r="D38" s="1260" t="s">
        <v>2837</v>
      </c>
      <c r="E38" s="1260" t="s">
        <v>602</v>
      </c>
      <c r="F38" s="3365">
        <f>ROUND(2465*(1-B59),2)</f>
        <v>2465</v>
      </c>
      <c r="G38" s="3366"/>
      <c r="H38" s="1261"/>
      <c r="I38" s="1261"/>
      <c r="J38" s="1261"/>
      <c r="K38" s="1261"/>
      <c r="L38" s="1261"/>
      <c r="M38" s="1261"/>
      <c r="EN38" s="1472"/>
      <c r="EO38" s="1472"/>
      <c r="EP38" s="1472"/>
      <c r="EQ38" s="1472"/>
      <c r="ER38" s="1472"/>
      <c r="ES38" s="1472"/>
      <c r="ET38" s="1472"/>
      <c r="EU38" s="1472"/>
      <c r="EV38" s="1472"/>
      <c r="EW38" s="1472"/>
      <c r="EX38" s="1472"/>
      <c r="EY38" s="1472"/>
      <c r="EZ38" s="1473"/>
      <c r="FA38" s="1473"/>
      <c r="FB38" s="1474"/>
      <c r="FC38" s="1458"/>
      <c r="FD38" s="1458" t="s">
        <v>2564</v>
      </c>
      <c r="FE38" s="1458"/>
      <c r="FF38" s="1458"/>
      <c r="FG38" s="1458"/>
      <c r="FH38" s="1458"/>
      <c r="FI38" s="1458"/>
      <c r="FJ38" s="1458"/>
      <c r="FK38" s="1458"/>
      <c r="FL38" s="1458"/>
      <c r="FM38" s="1458"/>
      <c r="FN38" s="1458"/>
      <c r="FO38" s="1458"/>
      <c r="FP38" s="1458"/>
      <c r="FQ38" s="1458"/>
      <c r="FR38" s="1458"/>
      <c r="FS38" s="1458"/>
      <c r="FT38" s="1458"/>
      <c r="FU38" s="1458"/>
      <c r="FV38" s="1458"/>
      <c r="FW38" s="1458"/>
      <c r="FX38" s="1458"/>
      <c r="FY38" s="1475"/>
      <c r="FZ38" s="1475"/>
      <c r="GA38" s="1475"/>
      <c r="GB38" s="1472"/>
      <c r="GC38" s="1472"/>
      <c r="GD38" s="1472"/>
      <c r="GE38" s="1472"/>
      <c r="GF38" s="1472"/>
      <c r="GG38" s="1472"/>
      <c r="GH38" s="1472"/>
    </row>
    <row r="39" spans="1:190" s="1053" customFormat="1" ht="16.5" customHeight="1" x14ac:dyDescent="0.25">
      <c r="A39" s="3372" t="s">
        <v>1358</v>
      </c>
      <c r="B39" s="3372"/>
      <c r="C39" s="3372"/>
      <c r="D39" s="3372"/>
      <c r="E39" s="3372"/>
      <c r="F39" s="3372"/>
      <c r="G39" s="3372"/>
      <c r="H39" s="1266"/>
      <c r="I39" s="1266"/>
      <c r="J39" s="1066"/>
      <c r="EN39" s="1468"/>
      <c r="EO39" s="1468"/>
      <c r="EP39" s="1468"/>
      <c r="EQ39" s="1468"/>
      <c r="ER39" s="1468"/>
      <c r="ES39" s="1468"/>
      <c r="ET39" s="1468"/>
      <c r="EU39" s="1468"/>
      <c r="EV39" s="1468"/>
      <c r="EW39" s="1468"/>
      <c r="EX39" s="1469"/>
      <c r="EY39" s="1469"/>
      <c r="EZ39" s="1470"/>
      <c r="FA39" s="1470"/>
      <c r="FB39" s="1055"/>
      <c r="FC39" s="1055"/>
      <c r="FD39" s="1055" t="s">
        <v>1879</v>
      </c>
      <c r="FE39" s="1055" t="s">
        <v>1880</v>
      </c>
      <c r="FF39" s="1055" t="s">
        <v>1881</v>
      </c>
      <c r="FG39" s="1055"/>
      <c r="FH39" s="1055"/>
      <c r="FI39" s="1055"/>
      <c r="FJ39" s="1055"/>
      <c r="FK39" s="1055"/>
      <c r="FL39" s="1055"/>
      <c r="FM39" s="1055"/>
      <c r="FN39" s="1055"/>
      <c r="FO39" s="1055"/>
      <c r="FP39" s="1055"/>
      <c r="FQ39" s="1055"/>
      <c r="FR39" s="1055"/>
      <c r="FS39" s="1055"/>
      <c r="FT39" s="1055"/>
      <c r="FU39" s="1055"/>
      <c r="FV39" s="1055"/>
      <c r="FW39" s="1055"/>
      <c r="FX39" s="1055"/>
      <c r="FY39" s="1471"/>
      <c r="FZ39" s="1471"/>
      <c r="GA39" s="1471"/>
      <c r="GB39" s="1468"/>
      <c r="GC39" s="1468"/>
      <c r="GD39" s="1468"/>
      <c r="GE39" s="1468"/>
      <c r="GF39" s="1468"/>
      <c r="GG39" s="1468"/>
      <c r="GH39" s="1468"/>
    </row>
    <row r="40" spans="1:190" s="1053" customFormat="1" ht="38.25" customHeight="1" x14ac:dyDescent="0.25">
      <c r="A40" s="3373" t="s">
        <v>2120</v>
      </c>
      <c r="B40" s="3373"/>
      <c r="C40" s="3373"/>
      <c r="D40" s="3373"/>
      <c r="E40" s="3373"/>
      <c r="F40" s="3373"/>
      <c r="G40" s="3373"/>
      <c r="H40" s="1265"/>
      <c r="I40" s="1265"/>
      <c r="J40" s="1066"/>
      <c r="EN40" s="1468"/>
      <c r="EO40" s="1468"/>
      <c r="EP40" s="1468"/>
      <c r="EQ40" s="1468"/>
      <c r="ER40" s="1468"/>
      <c r="ES40" s="1468"/>
      <c r="ET40" s="1468"/>
      <c r="EU40" s="1468"/>
      <c r="EV40" s="1468"/>
      <c r="EW40" s="1468"/>
      <c r="EX40" s="1469"/>
      <c r="EY40" s="1469"/>
      <c r="EZ40" s="1470"/>
      <c r="FA40" s="1470"/>
      <c r="FB40" s="1055"/>
      <c r="FC40" s="1055"/>
      <c r="FD40" s="1104">
        <v>42157</v>
      </c>
      <c r="FE40" s="1055">
        <v>1</v>
      </c>
      <c r="FF40" s="1055">
        <v>57.701999999999998</v>
      </c>
      <c r="FG40" s="1055"/>
      <c r="FH40" s="1055"/>
      <c r="FI40" s="1055"/>
      <c r="FJ40" s="1055"/>
      <c r="FK40" s="1055"/>
      <c r="FL40" s="1055"/>
      <c r="FM40" s="1055"/>
      <c r="FN40" s="1055"/>
      <c r="FO40" s="1055"/>
      <c r="FP40" s="1055"/>
      <c r="FQ40" s="1055"/>
      <c r="FR40" s="1055"/>
      <c r="FS40" s="1055"/>
      <c r="FT40" s="1055"/>
      <c r="FU40" s="1055"/>
      <c r="FV40" s="1055"/>
      <c r="FW40" s="1055"/>
      <c r="FX40" s="1055"/>
      <c r="FY40" s="1471"/>
      <c r="FZ40" s="1471"/>
      <c r="GA40" s="1471"/>
      <c r="GB40" s="1468"/>
      <c r="GC40" s="1468"/>
      <c r="GD40" s="1468"/>
      <c r="GE40" s="1468"/>
      <c r="GF40" s="1468"/>
      <c r="GG40" s="1468"/>
      <c r="GH40" s="1468"/>
    </row>
    <row r="41" spans="1:190" customFormat="1" ht="23.25" customHeight="1" x14ac:dyDescent="0.3">
      <c r="A41" s="1163" t="s">
        <v>2852</v>
      </c>
      <c r="B41" s="1260" t="s">
        <v>405</v>
      </c>
      <c r="C41" s="1260" t="s">
        <v>17</v>
      </c>
      <c r="D41" s="1260" t="s">
        <v>2225</v>
      </c>
      <c r="E41" s="1260" t="s">
        <v>605</v>
      </c>
      <c r="F41" s="3365">
        <f>ROUND(295*(1-B59),2)</f>
        <v>295</v>
      </c>
      <c r="G41" s="3366"/>
      <c r="H41" s="1261"/>
      <c r="I41" s="1261"/>
      <c r="J41" s="1261"/>
      <c r="K41" s="1261"/>
      <c r="L41" s="1261"/>
      <c r="M41" s="1261"/>
      <c r="EN41" s="1472"/>
      <c r="EO41" s="1472"/>
      <c r="EP41" s="1472"/>
      <c r="EQ41" s="1472"/>
      <c r="ER41" s="1472"/>
      <c r="ES41" s="1472"/>
      <c r="ET41" s="1472"/>
      <c r="EU41" s="1472"/>
      <c r="EV41" s="1472"/>
      <c r="EW41" s="1472"/>
      <c r="EX41" s="1472"/>
      <c r="EY41" s="1472"/>
      <c r="EZ41" s="1473"/>
      <c r="FA41" s="1473"/>
      <c r="FB41" s="1474"/>
      <c r="FC41" s="1458"/>
      <c r="FD41" s="1459">
        <v>42158</v>
      </c>
      <c r="FE41" s="1458">
        <v>1</v>
      </c>
      <c r="FF41" s="1458">
        <v>58.603700000000003</v>
      </c>
      <c r="FG41" s="1458"/>
      <c r="FH41" s="1458"/>
      <c r="FI41" s="1458"/>
      <c r="FJ41" s="1458"/>
      <c r="FK41" s="1458"/>
      <c r="FL41" s="1458"/>
      <c r="FM41" s="1458"/>
      <c r="FN41" s="1458"/>
      <c r="FO41" s="1458"/>
      <c r="FP41" s="1458"/>
      <c r="FQ41" s="1458"/>
      <c r="FR41" s="1458"/>
      <c r="FS41" s="1458"/>
      <c r="FT41" s="1458"/>
      <c r="FU41" s="1458"/>
      <c r="FV41" s="1458"/>
      <c r="FW41" s="1458"/>
      <c r="FX41" s="1458"/>
      <c r="FY41" s="1475"/>
      <c r="FZ41" s="1475"/>
      <c r="GA41" s="1475"/>
      <c r="GB41" s="1472"/>
      <c r="GC41" s="1472"/>
      <c r="GD41" s="1472"/>
      <c r="GE41" s="1472"/>
      <c r="GF41" s="1472"/>
      <c r="GG41" s="1472"/>
      <c r="GH41" s="1472"/>
    </row>
    <row r="42" spans="1:190" customFormat="1" ht="23.25" customHeight="1" x14ac:dyDescent="0.3">
      <c r="A42" s="1163" t="s">
        <v>2058</v>
      </c>
      <c r="B42" s="1260" t="s">
        <v>405</v>
      </c>
      <c r="C42" s="1260" t="s">
        <v>2027</v>
      </c>
      <c r="D42" s="1260" t="s">
        <v>2226</v>
      </c>
      <c r="E42" s="1260" t="s">
        <v>605</v>
      </c>
      <c r="F42" s="3365">
        <f>ROUND(404*(1-B59),2)</f>
        <v>404</v>
      </c>
      <c r="G42" s="3366"/>
      <c r="H42" s="1261"/>
      <c r="I42" s="1261"/>
      <c r="J42" s="1261"/>
      <c r="K42" s="1261"/>
      <c r="L42" s="1261"/>
      <c r="M42" s="1261"/>
      <c r="EN42" s="1472"/>
      <c r="EO42" s="1472"/>
      <c r="EP42" s="1472"/>
      <c r="EQ42" s="1472"/>
      <c r="ER42" s="1472"/>
      <c r="ES42" s="1472"/>
      <c r="ET42" s="1472"/>
      <c r="EU42" s="1472"/>
      <c r="EV42" s="1472"/>
      <c r="EW42" s="1472"/>
      <c r="EX42" s="1472"/>
      <c r="EY42" s="1472"/>
      <c r="EZ42" s="1473"/>
      <c r="FA42" s="1473"/>
      <c r="FB42" s="1474"/>
      <c r="FC42" s="1458"/>
      <c r="FD42" s="1459">
        <v>42159</v>
      </c>
      <c r="FE42" s="1458">
        <v>1</v>
      </c>
      <c r="FF42" s="1458">
        <v>59.113</v>
      </c>
      <c r="FG42" s="1458"/>
      <c r="FH42" s="1458"/>
      <c r="FI42" s="1458"/>
      <c r="FJ42" s="1458"/>
      <c r="FK42" s="1458"/>
      <c r="FL42" s="1458"/>
      <c r="FM42" s="1458"/>
      <c r="FN42" s="1458"/>
      <c r="FO42" s="1458"/>
      <c r="FP42" s="1458"/>
      <c r="FQ42" s="1458"/>
      <c r="FR42" s="1458"/>
      <c r="FS42" s="1458"/>
      <c r="FT42" s="1458"/>
      <c r="FU42" s="1458"/>
      <c r="FV42" s="1458"/>
      <c r="FW42" s="1458"/>
      <c r="FX42" s="1458"/>
      <c r="FY42" s="1475"/>
      <c r="FZ42" s="1475"/>
      <c r="GA42" s="1475"/>
      <c r="GB42" s="1472"/>
      <c r="GC42" s="1472"/>
      <c r="GD42" s="1472"/>
      <c r="GE42" s="1472"/>
      <c r="GF42" s="1472"/>
      <c r="GG42" s="1472"/>
      <c r="GH42" s="1472"/>
    </row>
    <row r="43" spans="1:190" customFormat="1" ht="23.25" customHeight="1" x14ac:dyDescent="0.3">
      <c r="A43" s="1163" t="s">
        <v>3421</v>
      </c>
      <c r="B43" s="1260" t="s">
        <v>2023</v>
      </c>
      <c r="C43" s="1260" t="s">
        <v>17</v>
      </c>
      <c r="D43" s="1260" t="s">
        <v>2203</v>
      </c>
      <c r="E43" s="1260" t="s">
        <v>605</v>
      </c>
      <c r="F43" s="3363">
        <f>ROUND(600*(1-B56),2)</f>
        <v>600</v>
      </c>
      <c r="G43" s="3364"/>
      <c r="H43" s="1261"/>
      <c r="I43" s="1261"/>
      <c r="J43" s="1261"/>
      <c r="K43" s="1261"/>
      <c r="L43" s="1261"/>
      <c r="M43" s="1261"/>
      <c r="EN43" s="1472"/>
      <c r="EO43" s="1472"/>
      <c r="EP43" s="1472"/>
      <c r="EQ43" s="1472"/>
      <c r="ER43" s="1472"/>
      <c r="ES43" s="1472"/>
      <c r="ET43" s="1472"/>
      <c r="EU43" s="1472"/>
      <c r="EV43" s="1472"/>
      <c r="EW43" s="1472"/>
      <c r="EX43" s="1472"/>
      <c r="EY43" s="1472"/>
      <c r="EZ43" s="1473"/>
      <c r="FA43" s="1473"/>
      <c r="FB43" s="1474"/>
      <c r="FC43" s="1458"/>
      <c r="FD43" s="1459">
        <v>42160</v>
      </c>
      <c r="FE43" s="1458">
        <v>1</v>
      </c>
      <c r="FF43" s="1458">
        <v>61.947099999999999</v>
      </c>
      <c r="FG43" s="1458"/>
      <c r="FH43" s="1458"/>
      <c r="FI43" s="1458"/>
      <c r="FJ43" s="1458"/>
      <c r="FK43" s="1458"/>
      <c r="FL43" s="1458"/>
      <c r="FM43" s="1458"/>
      <c r="FN43" s="1458"/>
      <c r="FO43" s="1458"/>
      <c r="FP43" s="1458"/>
      <c r="FQ43" s="1458"/>
      <c r="FR43" s="1458"/>
      <c r="FS43" s="1458"/>
      <c r="FT43" s="1458"/>
      <c r="FU43" s="1458"/>
      <c r="FV43" s="1458"/>
      <c r="FW43" s="1458"/>
      <c r="FX43" s="1458"/>
      <c r="FY43" s="1475"/>
      <c r="FZ43" s="1475"/>
      <c r="GA43" s="1475"/>
      <c r="GB43" s="1472"/>
      <c r="GC43" s="1472"/>
      <c r="GD43" s="1472"/>
      <c r="GE43" s="1472"/>
      <c r="GF43" s="1472"/>
      <c r="GG43" s="1472"/>
      <c r="GH43" s="1472"/>
    </row>
    <row r="44" spans="1:190" customFormat="1" ht="25.5" customHeight="1" x14ac:dyDescent="0.3">
      <c r="A44" s="1162" t="s">
        <v>2060</v>
      </c>
      <c r="B44" s="1260" t="s">
        <v>405</v>
      </c>
      <c r="C44" s="1260" t="s">
        <v>17</v>
      </c>
      <c r="D44" s="1260" t="s">
        <v>2204</v>
      </c>
      <c r="E44" s="1260" t="s">
        <v>605</v>
      </c>
      <c r="F44" s="3365">
        <f>ROUND(885*(1-B59),2)</f>
        <v>885</v>
      </c>
      <c r="G44" s="3366"/>
      <c r="H44" s="1261"/>
      <c r="I44" s="1261"/>
      <c r="J44" s="1261"/>
      <c r="K44" s="1261"/>
      <c r="L44" s="1261"/>
      <c r="M44" s="1261"/>
      <c r="EN44" s="1472"/>
      <c r="EO44" s="1472"/>
      <c r="EP44" s="1472"/>
      <c r="EQ44" s="1472"/>
      <c r="ER44" s="1472"/>
      <c r="ES44" s="1472"/>
      <c r="ET44" s="1472"/>
      <c r="EU44" s="1472"/>
      <c r="EV44" s="1472"/>
      <c r="EW44" s="1472"/>
      <c r="EX44" s="1472"/>
      <c r="EY44" s="1472"/>
      <c r="EZ44" s="1473"/>
      <c r="FA44" s="1473"/>
      <c r="FB44" s="1474"/>
      <c r="FC44" s="1458"/>
      <c r="FD44" s="1459">
        <v>42161</v>
      </c>
      <c r="FE44" s="1458">
        <v>1</v>
      </c>
      <c r="FF44" s="1458">
        <v>63.322099999999999</v>
      </c>
      <c r="FG44" s="1458"/>
      <c r="FH44" s="1458"/>
      <c r="FI44" s="1458"/>
      <c r="FJ44" s="1458"/>
      <c r="FK44" s="1458"/>
      <c r="FL44" s="1458"/>
      <c r="FM44" s="1458"/>
      <c r="FN44" s="1458"/>
      <c r="FO44" s="1458"/>
      <c r="FP44" s="1458"/>
      <c r="FQ44" s="1458"/>
      <c r="FR44" s="1458"/>
      <c r="FS44" s="1458"/>
      <c r="FT44" s="1458"/>
      <c r="FU44" s="1458"/>
      <c r="FV44" s="1458"/>
      <c r="FW44" s="1458"/>
      <c r="FX44" s="1458"/>
      <c r="FY44" s="1475"/>
      <c r="FZ44" s="1475"/>
      <c r="GA44" s="1475"/>
      <c r="GB44" s="1472"/>
      <c r="GC44" s="1472"/>
      <c r="GD44" s="1472"/>
      <c r="GE44" s="1472"/>
      <c r="GF44" s="1472"/>
      <c r="GG44" s="1472"/>
      <c r="GH44" s="1472"/>
    </row>
    <row r="45" spans="1:190" customFormat="1" ht="23.25" customHeight="1" x14ac:dyDescent="0.3">
      <c r="A45" s="1163" t="s">
        <v>2061</v>
      </c>
      <c r="B45" s="1260" t="s">
        <v>2038</v>
      </c>
      <c r="C45" s="1260" t="s">
        <v>17</v>
      </c>
      <c r="D45" s="1260" t="s">
        <v>2062</v>
      </c>
      <c r="E45" s="1260" t="s">
        <v>179</v>
      </c>
      <c r="F45" s="3365">
        <f>ROUND(935*(1-B58),2)</f>
        <v>935</v>
      </c>
      <c r="G45" s="3366"/>
      <c r="H45" s="1261"/>
      <c r="I45" s="1261"/>
      <c r="J45" s="1261"/>
      <c r="K45" s="1261"/>
      <c r="L45" s="1261"/>
      <c r="M45" s="1261"/>
      <c r="EN45" s="1472"/>
      <c r="EO45" s="1472"/>
      <c r="EP45" s="1472"/>
      <c r="EQ45" s="1472"/>
      <c r="ER45" s="1472"/>
      <c r="ES45" s="1472"/>
      <c r="ET45" s="1472"/>
      <c r="EU45" s="1472"/>
      <c r="EV45" s="1472"/>
      <c r="EW45" s="1472"/>
      <c r="EX45" s="1472"/>
      <c r="EY45" s="1472"/>
      <c r="EZ45" s="1473"/>
      <c r="FA45" s="1473"/>
      <c r="FB45" s="1474"/>
      <c r="FC45" s="1458"/>
      <c r="FD45" s="1459">
        <v>42164</v>
      </c>
      <c r="FE45" s="1458">
        <v>1</v>
      </c>
      <c r="FF45" s="1458">
        <v>62.505299999999998</v>
      </c>
      <c r="FG45" s="1458"/>
      <c r="FH45" s="1458"/>
      <c r="FI45" s="1458"/>
      <c r="FJ45" s="1458"/>
      <c r="FK45" s="1458"/>
      <c r="FL45" s="1458"/>
      <c r="FM45" s="1458"/>
      <c r="FN45" s="1458"/>
      <c r="FO45" s="1458"/>
      <c r="FP45" s="1458"/>
      <c r="FQ45" s="1458"/>
      <c r="FR45" s="1458"/>
      <c r="FS45" s="1458"/>
      <c r="FT45" s="1458"/>
      <c r="FU45" s="1458"/>
      <c r="FV45" s="1458"/>
      <c r="FW45" s="1458"/>
      <c r="FX45" s="1458"/>
      <c r="FY45" s="1475"/>
      <c r="FZ45" s="1475"/>
      <c r="GA45" s="1475"/>
      <c r="GB45" s="1472"/>
      <c r="GC45" s="1472"/>
      <c r="GD45" s="1472"/>
      <c r="GE45" s="1472"/>
      <c r="GF45" s="1472"/>
      <c r="GG45" s="1472"/>
      <c r="GH45" s="1472"/>
    </row>
    <row r="46" spans="1:190" customFormat="1" ht="23.25" customHeight="1" x14ac:dyDescent="0.3">
      <c r="A46" s="1163" t="s">
        <v>2063</v>
      </c>
      <c r="B46" s="1260" t="s">
        <v>2038</v>
      </c>
      <c r="C46" s="1260" t="s">
        <v>17</v>
      </c>
      <c r="D46" s="1260" t="s">
        <v>2062</v>
      </c>
      <c r="E46" s="1260" t="s">
        <v>179</v>
      </c>
      <c r="F46" s="3365">
        <f>ROUND(935*(1-B58),2)</f>
        <v>935</v>
      </c>
      <c r="G46" s="3366"/>
      <c r="H46" s="1261"/>
      <c r="I46" s="1261"/>
      <c r="J46" s="1261"/>
      <c r="K46" s="1261"/>
      <c r="L46" s="1261"/>
      <c r="M46" s="1261"/>
      <c r="EN46" s="1472"/>
      <c r="EO46" s="1472"/>
      <c r="EP46" s="1472"/>
      <c r="EQ46" s="1472"/>
      <c r="ER46" s="1472"/>
      <c r="ES46" s="1472"/>
      <c r="ET46" s="1472"/>
      <c r="EU46" s="1472"/>
      <c r="EV46" s="1472"/>
      <c r="EW46" s="1472"/>
      <c r="EX46" s="1472"/>
      <c r="EY46" s="1472"/>
      <c r="EZ46" s="1473"/>
      <c r="FA46" s="1473"/>
      <c r="FB46" s="1474"/>
      <c r="FC46" s="1458"/>
      <c r="FD46" s="1459">
        <v>42165</v>
      </c>
      <c r="FE46" s="1458">
        <v>1</v>
      </c>
      <c r="FF46" s="1458">
        <v>63.072099999999999</v>
      </c>
      <c r="FG46" s="1458"/>
      <c r="FH46" s="1458"/>
      <c r="FI46" s="1458"/>
      <c r="FJ46" s="1458"/>
      <c r="FK46" s="1458"/>
      <c r="FL46" s="1458"/>
      <c r="FM46" s="1458"/>
      <c r="FN46" s="1458"/>
      <c r="FO46" s="1458"/>
      <c r="FP46" s="1458"/>
      <c r="FQ46" s="1458"/>
      <c r="FR46" s="1458"/>
      <c r="FS46" s="1458"/>
      <c r="FT46" s="1458"/>
      <c r="FU46" s="1458"/>
      <c r="FV46" s="1458"/>
      <c r="FW46" s="1458"/>
      <c r="FX46" s="1458"/>
      <c r="FY46" s="1475"/>
      <c r="FZ46" s="1475"/>
      <c r="GA46" s="1475"/>
      <c r="GB46" s="1472"/>
      <c r="GC46" s="1472"/>
      <c r="GD46" s="1472"/>
      <c r="GE46" s="1472"/>
      <c r="GF46" s="1472"/>
      <c r="GG46" s="1472"/>
      <c r="GH46" s="1472"/>
    </row>
    <row r="47" spans="1:190" customFormat="1" ht="23.25" customHeight="1" x14ac:dyDescent="0.3">
      <c r="A47" s="1163" t="s">
        <v>3420</v>
      </c>
      <c r="B47" s="1260" t="s">
        <v>2038</v>
      </c>
      <c r="C47" s="1260" t="s">
        <v>17</v>
      </c>
      <c r="D47" s="1260" t="s">
        <v>2064</v>
      </c>
      <c r="E47" s="1260" t="s">
        <v>605</v>
      </c>
      <c r="F47" s="3365">
        <f>ROUND(1343*(1-B58),2)</f>
        <v>1343</v>
      </c>
      <c r="G47" s="3366"/>
      <c r="H47" s="1261"/>
      <c r="I47" s="1261"/>
      <c r="J47" s="1261"/>
      <c r="K47" s="1261"/>
      <c r="L47" s="1261"/>
      <c r="M47" s="1261"/>
      <c r="EN47" s="1472"/>
      <c r="EO47" s="1472"/>
      <c r="EP47" s="1472"/>
      <c r="EQ47" s="1472"/>
      <c r="ER47" s="1472"/>
      <c r="ES47" s="1472"/>
      <c r="ET47" s="1472"/>
      <c r="EU47" s="1472"/>
      <c r="EV47" s="1472"/>
      <c r="EW47" s="1472"/>
      <c r="EX47" s="1472"/>
      <c r="EY47" s="1472"/>
      <c r="EZ47" s="1473"/>
      <c r="FA47" s="1473"/>
      <c r="FB47" s="1474"/>
      <c r="FC47" s="1458"/>
      <c r="FD47" s="1459">
        <v>42166</v>
      </c>
      <c r="FE47" s="1458">
        <v>1</v>
      </c>
      <c r="FF47" s="1458">
        <v>62.206400000000002</v>
      </c>
      <c r="FG47" s="1458"/>
      <c r="FH47" s="1458"/>
      <c r="FI47" s="1458"/>
      <c r="FJ47" s="1458"/>
      <c r="FK47" s="1458"/>
      <c r="FL47" s="1458"/>
      <c r="FM47" s="1458"/>
      <c r="FN47" s="1458"/>
      <c r="FO47" s="1458"/>
      <c r="FP47" s="1458"/>
      <c r="FQ47" s="1458"/>
      <c r="FR47" s="1458"/>
      <c r="FS47" s="1458"/>
      <c r="FT47" s="1458"/>
      <c r="FU47" s="1458"/>
      <c r="FV47" s="1458"/>
      <c r="FW47" s="1458"/>
      <c r="FX47" s="1458"/>
      <c r="FY47" s="1475"/>
      <c r="FZ47" s="1475"/>
      <c r="GA47" s="1475"/>
      <c r="GB47" s="1472"/>
      <c r="GC47" s="1472"/>
      <c r="GD47" s="1472"/>
      <c r="GE47" s="1472"/>
      <c r="GF47" s="1472"/>
      <c r="GG47" s="1472"/>
      <c r="GH47" s="1472"/>
    </row>
    <row r="48" spans="1:190" customFormat="1" ht="23.25" customHeight="1" x14ac:dyDescent="0.3">
      <c r="A48" s="1163" t="s">
        <v>3419</v>
      </c>
      <c r="B48" s="1260" t="s">
        <v>2038</v>
      </c>
      <c r="C48" s="1260" t="s">
        <v>17</v>
      </c>
      <c r="D48" s="1260" t="s">
        <v>2059</v>
      </c>
      <c r="E48" s="1260" t="s">
        <v>605</v>
      </c>
      <c r="F48" s="3365">
        <f>ROUND(1683*(1-B58),2)</f>
        <v>1683</v>
      </c>
      <c r="G48" s="3366"/>
      <c r="H48" s="1261"/>
      <c r="I48" s="1261"/>
      <c r="J48" s="1261"/>
      <c r="K48" s="1261"/>
      <c r="L48" s="1261"/>
      <c r="M48" s="1261"/>
      <c r="EN48" s="1472"/>
      <c r="EO48" s="1472"/>
      <c r="EP48" s="1472"/>
      <c r="EQ48" s="1472"/>
      <c r="ER48" s="1472"/>
      <c r="ES48" s="1472"/>
      <c r="ET48" s="1472"/>
      <c r="EU48" s="1472"/>
      <c r="EV48" s="1472"/>
      <c r="EW48" s="1472"/>
      <c r="EX48" s="1472"/>
      <c r="EY48" s="1472"/>
      <c r="EZ48" s="1473"/>
      <c r="FA48" s="1473"/>
      <c r="FB48" s="1474"/>
      <c r="FC48" s="1458"/>
      <c r="FD48" s="1459">
        <v>42167</v>
      </c>
      <c r="FE48" s="1458">
        <v>1</v>
      </c>
      <c r="FF48" s="1458">
        <v>61.4754</v>
      </c>
      <c r="FG48" s="1458"/>
      <c r="FH48" s="1458"/>
      <c r="FI48" s="1458"/>
      <c r="FJ48" s="1458"/>
      <c r="FK48" s="1458"/>
      <c r="FL48" s="1458"/>
      <c r="FM48" s="1458"/>
      <c r="FN48" s="1458"/>
      <c r="FO48" s="1458"/>
      <c r="FP48" s="1458"/>
      <c r="FQ48" s="1458"/>
      <c r="FR48" s="1458"/>
      <c r="FS48" s="1458"/>
      <c r="FT48" s="1458"/>
      <c r="FU48" s="1458"/>
      <c r="FV48" s="1458"/>
      <c r="FW48" s="1458"/>
      <c r="FX48" s="1458"/>
      <c r="FY48" s="1475"/>
      <c r="FZ48" s="1475"/>
      <c r="GA48" s="1475"/>
      <c r="GB48" s="1472"/>
      <c r="GC48" s="1472"/>
      <c r="GD48" s="1472"/>
      <c r="GE48" s="1472"/>
      <c r="GF48" s="1472"/>
      <c r="GG48" s="1472"/>
      <c r="GH48" s="1472"/>
    </row>
    <row r="49" spans="1:190" s="1053" customFormat="1" ht="15" customHeight="1" x14ac:dyDescent="0.25">
      <c r="A49" s="1267" t="s">
        <v>2065</v>
      </c>
      <c r="B49" s="1254"/>
      <c r="C49" s="1254"/>
      <c r="D49" s="1254"/>
      <c r="E49" s="1254"/>
      <c r="F49" s="1254"/>
      <c r="G49" s="1254"/>
      <c r="H49" s="1262"/>
      <c r="I49" s="1262"/>
      <c r="J49" s="1110"/>
      <c r="EN49" s="1468"/>
      <c r="EO49" s="1468"/>
      <c r="EP49" s="1468"/>
      <c r="EQ49" s="1468"/>
      <c r="ER49" s="1468"/>
      <c r="ES49" s="1468"/>
      <c r="ET49" s="1468"/>
      <c r="EU49" s="1468"/>
      <c r="EV49" s="1468"/>
      <c r="EW49" s="1468"/>
      <c r="EX49" s="1469"/>
      <c r="EY49" s="1469"/>
      <c r="EZ49" s="1470"/>
      <c r="FA49" s="1470"/>
      <c r="FB49" s="1055"/>
      <c r="FC49" s="1055"/>
      <c r="FD49" s="1104">
        <v>42171</v>
      </c>
      <c r="FE49" s="1055">
        <v>1</v>
      </c>
      <c r="FF49" s="1055">
        <v>62.104500000000002</v>
      </c>
      <c r="FG49" s="1055"/>
      <c r="FH49" s="1055"/>
      <c r="FI49" s="1055"/>
      <c r="FJ49" s="1055"/>
      <c r="FK49" s="1055"/>
      <c r="FL49" s="1055"/>
      <c r="FM49" s="1055"/>
      <c r="FN49" s="1055"/>
      <c r="FO49" s="1055"/>
      <c r="FP49" s="1055"/>
      <c r="FQ49" s="1055"/>
      <c r="FR49" s="1055"/>
      <c r="FS49" s="1055"/>
      <c r="FT49" s="1055"/>
      <c r="FU49" s="1055"/>
      <c r="FV49" s="1055"/>
      <c r="FW49" s="1055"/>
      <c r="FX49" s="1055"/>
      <c r="FY49" s="1471"/>
      <c r="FZ49" s="1471"/>
      <c r="GA49" s="1471"/>
      <c r="GB49" s="1468"/>
      <c r="GC49" s="1468"/>
      <c r="GD49" s="1468"/>
      <c r="GE49" s="1468"/>
      <c r="GF49" s="1468"/>
      <c r="GG49" s="1468"/>
      <c r="GH49" s="1468"/>
    </row>
    <row r="50" spans="1:190" s="1053" customFormat="1" ht="15" customHeight="1" x14ac:dyDescent="0.25">
      <c r="A50" s="1267" t="s">
        <v>2259</v>
      </c>
      <c r="B50" s="1254"/>
      <c r="C50" s="1254"/>
      <c r="D50" s="1254"/>
      <c r="E50" s="1254"/>
      <c r="F50" s="1254"/>
      <c r="G50" s="1254"/>
      <c r="H50" s="1263"/>
      <c r="I50" s="1263"/>
      <c r="J50" s="1110"/>
      <c r="EN50" s="1468"/>
      <c r="EO50" s="1468"/>
      <c r="EP50" s="1468"/>
      <c r="EQ50" s="1468"/>
      <c r="ER50" s="1468"/>
      <c r="ES50" s="1468"/>
      <c r="ET50" s="1468"/>
      <c r="EU50" s="1468"/>
      <c r="EV50" s="1468"/>
      <c r="EW50" s="1468"/>
      <c r="EX50" s="1469"/>
      <c r="EY50" s="1469"/>
      <c r="EZ50" s="1470"/>
      <c r="FA50" s="1470"/>
      <c r="FB50" s="1055"/>
      <c r="FC50" s="1055"/>
      <c r="FD50" s="1104">
        <v>42173</v>
      </c>
      <c r="FE50" s="1055">
        <v>1</v>
      </c>
      <c r="FF50" s="1055">
        <v>60.745199999999997</v>
      </c>
      <c r="FG50" s="1055"/>
      <c r="FH50" s="1055"/>
      <c r="FI50" s="1055"/>
      <c r="FJ50" s="1055"/>
      <c r="FK50" s="1055"/>
      <c r="FL50" s="1055"/>
      <c r="FM50" s="1055"/>
      <c r="FN50" s="1055"/>
      <c r="FO50" s="1055"/>
      <c r="FP50" s="1055"/>
      <c r="FQ50" s="1055"/>
      <c r="FR50" s="1055"/>
      <c r="FS50" s="1055"/>
      <c r="FT50" s="1055"/>
      <c r="FU50" s="1055"/>
      <c r="FV50" s="1055"/>
      <c r="FW50" s="1085"/>
      <c r="FX50" s="1055"/>
      <c r="FY50" s="1471"/>
      <c r="FZ50" s="1471"/>
      <c r="GA50" s="1471"/>
      <c r="GB50" s="1468"/>
      <c r="GC50" s="1468"/>
      <c r="GD50" s="1468"/>
      <c r="GE50" s="1468"/>
      <c r="GF50" s="1468"/>
      <c r="GG50" s="1468"/>
      <c r="GH50" s="1468"/>
    </row>
    <row r="51" spans="1:190" s="1053" customFormat="1" ht="15" customHeight="1" x14ac:dyDescent="0.25">
      <c r="A51"/>
      <c r="B51" s="1254"/>
      <c r="C51" s="1254"/>
      <c r="D51" s="1254"/>
      <c r="E51" s="1254"/>
      <c r="F51" s="1254"/>
      <c r="G51" s="1254"/>
      <c r="H51" s="1263"/>
      <c r="I51" s="1263"/>
      <c r="J51" s="1110"/>
      <c r="EN51" s="1468"/>
      <c r="EO51" s="1468"/>
      <c r="EP51" s="1468"/>
      <c r="EQ51" s="1468"/>
      <c r="ER51" s="1468"/>
      <c r="ES51" s="1468"/>
      <c r="ET51" s="1468"/>
      <c r="EU51" s="1468"/>
      <c r="EV51" s="1468"/>
      <c r="EW51" s="1468"/>
      <c r="EX51" s="1469"/>
      <c r="EY51" s="1469"/>
      <c r="EZ51" s="1470"/>
      <c r="FA51" s="1470"/>
      <c r="FB51" s="1055"/>
      <c r="FC51" s="1055"/>
      <c r="FD51" s="1104">
        <v>42174</v>
      </c>
      <c r="FE51" s="1055">
        <v>1</v>
      </c>
      <c r="FF51" s="1055">
        <v>60.6417</v>
      </c>
      <c r="FG51" s="1055"/>
      <c r="FH51" s="1055"/>
      <c r="FI51" s="1055"/>
      <c r="FJ51" s="1055"/>
      <c r="FK51" s="1055"/>
      <c r="FL51" s="1055"/>
      <c r="FM51" s="1055"/>
      <c r="FN51" s="1055"/>
      <c r="FO51" s="1055"/>
      <c r="FP51" s="1055"/>
      <c r="FQ51" s="1055"/>
      <c r="FR51" s="1116"/>
      <c r="FS51" s="1116"/>
      <c r="FT51" s="1116"/>
      <c r="FU51" s="1116"/>
      <c r="FV51" s="1116"/>
      <c r="FW51" s="1120"/>
      <c r="FX51" s="1055"/>
      <c r="FY51" s="1471"/>
      <c r="FZ51" s="1471"/>
      <c r="GA51" s="1471"/>
      <c r="GB51" s="1468"/>
      <c r="GC51" s="1468"/>
      <c r="GD51" s="1468"/>
      <c r="GE51" s="1468"/>
      <c r="GF51" s="1468"/>
      <c r="GG51" s="1468"/>
      <c r="GH51" s="1468"/>
    </row>
    <row r="52" spans="1:190" s="1053" customFormat="1" ht="15" customHeight="1" x14ac:dyDescent="0.25">
      <c r="A52"/>
      <c r="B52" s="1254"/>
      <c r="C52" s="1254"/>
      <c r="D52" s="1254"/>
      <c r="E52" s="1254"/>
      <c r="F52" s="1254"/>
      <c r="G52" s="1254"/>
      <c r="H52" s="1262"/>
      <c r="I52" s="1262"/>
      <c r="J52" s="1110"/>
      <c r="EN52" s="1468"/>
      <c r="EO52" s="1468"/>
      <c r="EP52" s="1468"/>
      <c r="EQ52" s="1468"/>
      <c r="ER52" s="1468"/>
      <c r="ES52" s="1468"/>
      <c r="ET52" s="1468"/>
      <c r="EU52" s="1468"/>
      <c r="EV52" s="1468"/>
      <c r="EW52" s="1468"/>
      <c r="EX52" s="1469"/>
      <c r="EY52" s="1469"/>
      <c r="EZ52" s="1470"/>
      <c r="FA52" s="1470"/>
      <c r="FB52" s="1055"/>
      <c r="FC52" s="1055"/>
      <c r="FD52" s="1104">
        <v>42175</v>
      </c>
      <c r="FE52" s="1055">
        <v>1</v>
      </c>
      <c r="FF52" s="1055">
        <v>60.912999999999997</v>
      </c>
      <c r="FG52" s="1055"/>
      <c r="FH52" s="1055"/>
      <c r="FI52" s="1055"/>
      <c r="FJ52" s="1055"/>
      <c r="FK52" s="1055"/>
      <c r="FL52" s="1055"/>
      <c r="FM52" s="1055"/>
      <c r="FN52" s="1055"/>
      <c r="FO52" s="1055"/>
      <c r="FP52" s="1055"/>
      <c r="FQ52" s="1055"/>
      <c r="FR52" s="1117"/>
      <c r="FS52" s="1118" t="s">
        <v>2212</v>
      </c>
      <c r="FT52" s="1119">
        <f ca="1">$FV$25</f>
        <v>85.654300000000006</v>
      </c>
      <c r="FU52" s="1114">
        <f ca="1">((3.0714*3)*2+3.0716)/2*$FT$52*2*1.2*100/(20.6667*((0.75*2)+(1.1013+0.3987)))</f>
        <v>3564.3183478736328</v>
      </c>
      <c r="FV52" s="1120" t="s">
        <v>1882</v>
      </c>
      <c r="FW52" s="1055"/>
      <c r="FX52" s="1055"/>
      <c r="FY52" s="1471"/>
      <c r="FZ52" s="1471"/>
      <c r="GA52" s="1471"/>
      <c r="GB52" s="1468"/>
      <c r="GC52" s="1468"/>
      <c r="GD52" s="1468"/>
      <c r="GE52" s="1468"/>
      <c r="GF52" s="1468"/>
      <c r="GG52" s="1468"/>
      <c r="GH52" s="1468"/>
    </row>
    <row r="53" spans="1:190" s="1053" customFormat="1" ht="15" customHeight="1" x14ac:dyDescent="0.25">
      <c r="A53"/>
      <c r="B53" s="1254"/>
      <c r="C53" s="1254"/>
      <c r="D53" s="1254"/>
      <c r="E53" s="1254"/>
      <c r="F53" s="1254"/>
      <c r="G53" s="1254"/>
      <c r="H53" s="1268"/>
      <c r="I53" s="1268"/>
      <c r="J53" s="1110"/>
      <c r="EN53" s="1468"/>
      <c r="EO53" s="1468"/>
      <c r="EP53" s="1468"/>
      <c r="EQ53" s="1468"/>
      <c r="ER53" s="1468"/>
      <c r="ES53" s="1468"/>
      <c r="ET53" s="1468"/>
      <c r="EU53" s="1468"/>
      <c r="EV53" s="1468"/>
      <c r="EW53" s="1468"/>
      <c r="EX53" s="1469"/>
      <c r="EY53" s="1469"/>
      <c r="EZ53" s="1470"/>
      <c r="FA53" s="1470"/>
      <c r="FB53" s="1055"/>
      <c r="FC53" s="1055"/>
      <c r="FD53" s="1104">
        <v>42178</v>
      </c>
      <c r="FE53" s="1055">
        <v>1</v>
      </c>
      <c r="FF53" s="1055">
        <v>60.856699999999996</v>
      </c>
      <c r="FG53" s="1055"/>
      <c r="FH53" s="1055"/>
      <c r="FI53" s="1055"/>
      <c r="FJ53" s="1055"/>
      <c r="FK53" s="1055"/>
      <c r="FL53" s="1055"/>
      <c r="FM53" s="1055"/>
      <c r="FN53" s="1055"/>
      <c r="FO53" s="1055"/>
      <c r="FP53" s="1055"/>
      <c r="FQ53" s="1055"/>
      <c r="FR53" s="1117"/>
      <c r="FS53" s="1118" t="s">
        <v>2213</v>
      </c>
      <c r="FT53" s="1119">
        <f ca="1">$FV$26</f>
        <v>85.654300000000006</v>
      </c>
      <c r="FU53" s="1114">
        <f ca="1">((4.975*3)+13.79+30.985-(13*3.0154)+0.0002)*7*$FT$52/7*1.1*100/(20.6667*((0.75*2)+(1.1013+0.3987)))</f>
        <v>3115.3247575407131</v>
      </c>
      <c r="FV53" s="1154" t="s">
        <v>2005</v>
      </c>
      <c r="FW53" s="1055"/>
      <c r="FX53" s="1055"/>
      <c r="FY53" s="1476"/>
      <c r="FZ53" s="1471"/>
      <c r="GA53" s="1471"/>
      <c r="GB53" s="1468"/>
      <c r="GC53" s="1468"/>
      <c r="GD53" s="1468"/>
      <c r="GE53" s="1468"/>
      <c r="GF53" s="1468"/>
      <c r="GG53" s="1468"/>
      <c r="GH53" s="1468"/>
    </row>
    <row r="54" spans="1:190" s="1053" customFormat="1" ht="15" customHeight="1" x14ac:dyDescent="0.25">
      <c r="A54" s="3361" t="s">
        <v>66</v>
      </c>
      <c r="B54" s="3362"/>
      <c r="C54" s="1254"/>
      <c r="D54" s="1254"/>
      <c r="E54" s="1254"/>
      <c r="F54" s="1254"/>
      <c r="G54" s="1254"/>
      <c r="H54" s="1263"/>
      <c r="I54" s="1263"/>
      <c r="J54" s="1110"/>
      <c r="EN54" s="1468"/>
      <c r="EO54" s="1468"/>
      <c r="EP54" s="1468"/>
      <c r="EQ54" s="1468"/>
      <c r="ER54" s="1468"/>
      <c r="ES54" s="1468"/>
      <c r="ET54" s="1468"/>
      <c r="EU54" s="1468"/>
      <c r="EV54" s="1468"/>
      <c r="EW54" s="1468"/>
      <c r="EX54" s="1469"/>
      <c r="EY54" s="1469"/>
      <c r="EZ54" s="1470"/>
      <c r="FA54" s="1470"/>
      <c r="FB54" s="1055"/>
      <c r="FC54" s="1055"/>
      <c r="FD54" s="1104">
        <v>42179</v>
      </c>
      <c r="FE54" s="1055">
        <v>1</v>
      </c>
      <c r="FF54" s="1055">
        <v>61.054600000000001</v>
      </c>
      <c r="FG54" s="1055"/>
      <c r="FH54" s="1055"/>
      <c r="FI54" s="1055"/>
      <c r="FJ54" s="1055"/>
      <c r="FK54" s="1055"/>
      <c r="FL54" s="1055"/>
      <c r="FM54" s="1055"/>
      <c r="FN54" s="1055"/>
      <c r="FO54" s="1055"/>
      <c r="FP54" s="1055"/>
      <c r="FQ54" s="1055"/>
      <c r="FR54" s="1117"/>
      <c r="FS54" s="1118"/>
      <c r="FT54" s="1119"/>
      <c r="FU54" s="1114">
        <f ca="1">((6.0857+13)*2+4.4286-(11.05*2))/79*$FT$52*79*1.1*100/(20.6667*((0.75*2)+(1.1013+0.3987)))</f>
        <v>3115.324757540714</v>
      </c>
      <c r="FV54" s="1154" t="s">
        <v>2006</v>
      </c>
      <c r="FW54" s="1055"/>
      <c r="FX54" s="1055"/>
      <c r="FY54" s="1471"/>
      <c r="FZ54" s="1471"/>
      <c r="GA54" s="1471"/>
      <c r="GB54" s="1468"/>
      <c r="GC54" s="1468"/>
      <c r="GD54" s="1468"/>
      <c r="GE54" s="1468"/>
      <c r="GF54" s="1468"/>
      <c r="GG54" s="1468"/>
      <c r="GH54" s="1468"/>
    </row>
    <row r="55" spans="1:190" s="1053" customFormat="1" ht="15" customHeight="1" x14ac:dyDescent="0.25">
      <c r="A55" s="1269" t="s">
        <v>601</v>
      </c>
      <c r="B55" s="1270">
        <v>0</v>
      </c>
      <c r="C55" s="1254"/>
      <c r="D55" s="1254"/>
      <c r="E55" s="1254"/>
      <c r="F55" s="1254"/>
      <c r="G55" s="1254"/>
      <c r="H55" s="1262"/>
      <c r="I55" s="1262"/>
      <c r="J55" s="1110"/>
      <c r="EN55" s="1468"/>
      <c r="EO55" s="1468"/>
      <c r="EP55" s="1468"/>
      <c r="EQ55" s="1468"/>
      <c r="ER55" s="1468"/>
      <c r="ES55" s="1468"/>
      <c r="ET55" s="1468"/>
      <c r="EU55" s="1468"/>
      <c r="EV55" s="1468"/>
      <c r="EW55" s="1468"/>
      <c r="EX55" s="1469"/>
      <c r="EY55" s="1469"/>
      <c r="EZ55" s="1470"/>
      <c r="FA55" s="1470"/>
      <c r="FB55" s="1055"/>
      <c r="FC55" s="1055"/>
      <c r="FD55" s="1104">
        <v>42180</v>
      </c>
      <c r="FE55" s="1055">
        <v>1</v>
      </c>
      <c r="FF55" s="1055">
        <v>60.5852</v>
      </c>
      <c r="FG55" s="1055"/>
      <c r="FH55" s="1055"/>
      <c r="FI55" s="1055"/>
      <c r="FJ55" s="1055"/>
      <c r="FK55" s="1055"/>
      <c r="FL55" s="1055"/>
      <c r="FM55" s="1055"/>
      <c r="FN55" s="1055"/>
      <c r="FO55" s="1055"/>
      <c r="FP55" s="1055"/>
      <c r="FQ55" s="1055"/>
      <c r="FR55" s="1117"/>
      <c r="FS55" s="1118"/>
      <c r="FT55" s="1119"/>
      <c r="FU55" s="1114">
        <f ca="1">((3157-2376)*2-746)/23.3143*$FT$52*1.2*100/(20.6667*((0.75*2)+(1.1013+0.3987)))</f>
        <v>5802.3751504638667</v>
      </c>
      <c r="FV55" s="1085" t="s">
        <v>1884</v>
      </c>
      <c r="FW55" s="1154"/>
      <c r="FX55" s="1055"/>
      <c r="FY55" s="1471"/>
      <c r="FZ55" s="1471"/>
      <c r="GA55" s="1471"/>
      <c r="GB55" s="1468"/>
      <c r="GC55" s="1468"/>
      <c r="GD55" s="1468"/>
      <c r="GE55" s="1468"/>
      <c r="GF55" s="1468"/>
      <c r="GG55" s="1468"/>
      <c r="GH55" s="1468"/>
    </row>
    <row r="56" spans="1:190" s="1053" customFormat="1" ht="15" customHeight="1" x14ac:dyDescent="0.25">
      <c r="A56" s="1269" t="s">
        <v>653</v>
      </c>
      <c r="B56" s="1270">
        <v>0</v>
      </c>
      <c r="C56" s="1254"/>
      <c r="D56" s="1254"/>
      <c r="E56" s="1254"/>
      <c r="F56" s="1254"/>
      <c r="G56" s="1254"/>
      <c r="H56" s="1271"/>
      <c r="I56" s="1271"/>
      <c r="J56" s="1110"/>
      <c r="EN56" s="1468"/>
      <c r="EO56" s="1468"/>
      <c r="EP56" s="1468"/>
      <c r="EQ56" s="1468"/>
      <c r="ER56" s="1468"/>
      <c r="ES56" s="1468"/>
      <c r="ET56" s="1468"/>
      <c r="EU56" s="1468"/>
      <c r="EV56" s="1468"/>
      <c r="EW56" s="1468"/>
      <c r="EX56" s="1469"/>
      <c r="EY56" s="1469"/>
      <c r="EZ56" s="1470"/>
      <c r="FA56" s="1470"/>
      <c r="FB56" s="1055"/>
      <c r="FC56" s="1055"/>
      <c r="FD56" s="1104">
        <v>42181</v>
      </c>
      <c r="FE56" s="1055">
        <v>1</v>
      </c>
      <c r="FF56" s="1055">
        <v>61.198599999999999</v>
      </c>
      <c r="FG56" s="1055"/>
      <c r="FH56" s="1055"/>
      <c r="FI56" s="1055"/>
      <c r="FJ56" s="1055"/>
      <c r="FK56" s="1055"/>
      <c r="FL56" s="1055"/>
      <c r="FM56" s="1055"/>
      <c r="FN56" s="1055"/>
      <c r="FO56" s="1055"/>
      <c r="FP56" s="1055"/>
      <c r="FQ56" s="1055"/>
      <c r="FR56" s="1117"/>
      <c r="FS56" s="1118"/>
      <c r="FT56" s="1119"/>
      <c r="FU56" s="1114">
        <f ca="1">((17369/9)/80+8.3764-0.0000111111111)*$FT$52*1.2*100/(20.6667*((0.75*2)+(1.1013+0.3987)))</f>
        <v>5387.9230839950278</v>
      </c>
      <c r="FV56" s="1154" t="s">
        <v>2007</v>
      </c>
      <c r="FW56" s="1055"/>
      <c r="FX56" s="1055"/>
      <c r="FY56" s="1471"/>
      <c r="FZ56" s="1471"/>
      <c r="GA56" s="1471"/>
      <c r="GB56" s="1468"/>
      <c r="GC56" s="1468"/>
      <c r="GD56" s="1468"/>
      <c r="GE56" s="1468"/>
      <c r="GF56" s="1468"/>
      <c r="GG56" s="1468"/>
      <c r="GH56" s="1468"/>
    </row>
    <row r="57" spans="1:190" s="1053" customFormat="1" ht="15" customHeight="1" x14ac:dyDescent="0.15">
      <c r="A57" s="1269" t="s">
        <v>655</v>
      </c>
      <c r="B57" s="1270">
        <v>0</v>
      </c>
      <c r="C57" s="1254"/>
      <c r="D57" s="1254"/>
      <c r="E57" s="1254"/>
      <c r="F57" s="1254"/>
      <c r="G57" s="1254"/>
      <c r="H57" s="1271"/>
      <c r="I57" s="1271"/>
      <c r="J57" s="1110"/>
      <c r="EN57" s="1468"/>
      <c r="EO57" s="1468"/>
      <c r="EP57" s="1468"/>
      <c r="EQ57" s="1468"/>
      <c r="ER57" s="1468"/>
      <c r="ES57" s="1468"/>
      <c r="ET57" s="1468"/>
      <c r="EU57" s="1468"/>
      <c r="EV57" s="1468"/>
      <c r="EW57" s="1468"/>
      <c r="EX57" s="1469"/>
      <c r="EY57" s="1469"/>
      <c r="EZ57" s="1470"/>
      <c r="FA57" s="1470"/>
      <c r="FB57" s="1055"/>
      <c r="FC57" s="1055"/>
      <c r="FD57" s="1104">
        <v>42182</v>
      </c>
      <c r="FE57" s="1055">
        <v>1</v>
      </c>
      <c r="FF57" s="1055">
        <v>61.406599999999997</v>
      </c>
      <c r="FG57" s="1055"/>
      <c r="FH57" s="1055"/>
      <c r="FI57" s="1055"/>
      <c r="FJ57" s="1055"/>
      <c r="FK57" s="1055"/>
      <c r="FL57" s="1055"/>
      <c r="FM57" s="1055"/>
      <c r="FN57" s="1055"/>
      <c r="FO57" s="1055"/>
      <c r="FP57" s="1055"/>
      <c r="FQ57" s="1055"/>
      <c r="FR57" s="1081"/>
      <c r="FS57" s="1122"/>
      <c r="FT57" s="1123"/>
      <c r="FU57" s="1114">
        <f ca="1">((48.75/9)/80+8.3764+89.0559-0.0000083333333)*$FT$53</f>
        <v>8351.2942500000026</v>
      </c>
      <c r="FV57" s="1124" t="s">
        <v>2214</v>
      </c>
      <c r="FW57" s="1124"/>
      <c r="FX57" s="1055"/>
      <c r="FY57" s="1471"/>
      <c r="FZ57" s="1471"/>
      <c r="GA57" s="1471"/>
      <c r="GB57" s="1468"/>
      <c r="GC57" s="1468"/>
      <c r="GD57" s="1468"/>
      <c r="GE57" s="1468"/>
      <c r="GF57" s="1468"/>
      <c r="GG57" s="1468"/>
      <c r="GH57" s="1468"/>
    </row>
    <row r="58" spans="1:190" s="1053" customFormat="1" ht="15" customHeight="1" x14ac:dyDescent="0.15">
      <c r="A58" s="1272" t="s">
        <v>656</v>
      </c>
      <c r="B58" s="1270">
        <v>0</v>
      </c>
      <c r="C58" s="1254"/>
      <c r="D58" s="1254"/>
      <c r="E58" s="1254"/>
      <c r="F58" s="1254"/>
      <c r="G58" s="1254"/>
      <c r="H58" s="1271"/>
      <c r="I58" s="1271"/>
      <c r="J58" s="1110"/>
      <c r="EN58" s="1468"/>
      <c r="EO58" s="1468"/>
      <c r="EP58" s="1468"/>
      <c r="EQ58" s="1468"/>
      <c r="ER58" s="1468"/>
      <c r="ES58" s="1468"/>
      <c r="ET58" s="1468"/>
      <c r="EU58" s="1468"/>
      <c r="EV58" s="1468"/>
      <c r="EW58" s="1468"/>
      <c r="EX58" s="1469"/>
      <c r="EY58" s="1469"/>
      <c r="EZ58" s="1470"/>
      <c r="FA58" s="1470"/>
      <c r="FB58" s="1055"/>
      <c r="FC58" s="1055"/>
      <c r="FD58" s="1104">
        <v>42185</v>
      </c>
      <c r="FE58" s="1055">
        <v>1</v>
      </c>
      <c r="FF58" s="1055">
        <v>61.520600000000002</v>
      </c>
      <c r="FG58" s="1055"/>
      <c r="FH58" s="1055"/>
      <c r="FI58" s="1055"/>
      <c r="FJ58" s="1055"/>
      <c r="FK58" s="1055"/>
      <c r="FL58" s="1055"/>
      <c r="FM58" s="1055"/>
      <c r="FN58" s="1055"/>
      <c r="FO58" s="1055"/>
      <c r="FP58" s="1055"/>
      <c r="FQ58" s="1055"/>
      <c r="FR58" s="1081"/>
      <c r="FS58" s="1122"/>
      <c r="FT58" s="1123"/>
      <c r="FU58" s="1114">
        <f ca="1">((3*9)*80+8.3764-89.0559-0.0000083333333-1500-579+12-0.3204916666668)*$FT$53</f>
        <v>1027.8516000000034</v>
      </c>
      <c r="FV58" s="1124" t="s">
        <v>2215</v>
      </c>
      <c r="FW58" s="1124"/>
      <c r="FX58" s="1055"/>
      <c r="FY58" s="1471"/>
      <c r="FZ58" s="1471"/>
      <c r="GA58" s="1471"/>
      <c r="GB58" s="1468"/>
      <c r="GC58" s="1468"/>
      <c r="GD58" s="1468"/>
      <c r="GE58" s="1468"/>
      <c r="GF58" s="1468"/>
      <c r="GG58" s="1468"/>
      <c r="GH58" s="1468"/>
    </row>
    <row r="59" spans="1:190" s="1053" customFormat="1" ht="15" customHeight="1" x14ac:dyDescent="0.15">
      <c r="A59" s="1272" t="s">
        <v>2206</v>
      </c>
      <c r="B59" s="1273">
        <v>0</v>
      </c>
      <c r="C59" s="1254"/>
      <c r="D59" s="1254"/>
      <c r="E59" s="1254"/>
      <c r="F59" s="1254"/>
      <c r="G59" s="1254"/>
      <c r="H59" s="1271"/>
      <c r="I59" s="1271"/>
      <c r="J59" s="1110"/>
      <c r="EN59" s="1468"/>
      <c r="EO59" s="1468"/>
      <c r="EP59" s="1468"/>
      <c r="EQ59" s="1468"/>
      <c r="ER59" s="1468"/>
      <c r="ES59" s="1468"/>
      <c r="ET59" s="1468"/>
      <c r="EU59" s="1468"/>
      <c r="EV59" s="1468"/>
      <c r="EW59" s="1468"/>
      <c r="EX59" s="1469"/>
      <c r="EY59" s="1469"/>
      <c r="EZ59" s="1470"/>
      <c r="FA59" s="1470"/>
      <c r="FB59" s="1055"/>
      <c r="FC59" s="1055"/>
      <c r="FD59" s="1104">
        <v>42186</v>
      </c>
      <c r="FE59" s="1055">
        <v>1</v>
      </c>
      <c r="FF59" s="1055">
        <v>62.380299999999998</v>
      </c>
      <c r="FG59" s="1055"/>
      <c r="FH59" s="1055"/>
      <c r="FI59" s="1055"/>
      <c r="FJ59" s="1055"/>
      <c r="FK59" s="1055"/>
      <c r="FL59" s="1055"/>
      <c r="FM59" s="1055"/>
      <c r="FN59" s="1055"/>
      <c r="FO59" s="1055"/>
      <c r="FP59" s="1055"/>
      <c r="FQ59" s="1055"/>
      <c r="FR59" s="1081"/>
      <c r="FS59" s="1122"/>
      <c r="FT59" s="1123"/>
      <c r="FU59" s="1114">
        <f ca="1">((3*9)*80+8.3764-89.0559-0.0000083333333-1500-579+12-0.3204916666668)*$FT$53</f>
        <v>1027.8516000000034</v>
      </c>
      <c r="FV59" s="1124" t="s">
        <v>2216</v>
      </c>
      <c r="FW59" s="1477"/>
      <c r="FX59" s="1477"/>
      <c r="FY59" s="1468"/>
      <c r="FZ59" s="1468"/>
      <c r="GA59" s="1468"/>
      <c r="GB59" s="1468"/>
      <c r="GC59" s="1468"/>
      <c r="GD59" s="1468"/>
      <c r="GE59" s="1468"/>
      <c r="GF59" s="1468"/>
      <c r="GG59" s="1468"/>
      <c r="GH59" s="1468"/>
    </row>
    <row r="60" spans="1:190" s="1053" customFormat="1" ht="28.5" customHeight="1" x14ac:dyDescent="0.25">
      <c r="A60"/>
      <c r="B60" s="1254"/>
      <c r="C60" s="1254"/>
      <c r="D60" s="1254"/>
      <c r="E60" s="1254"/>
      <c r="F60" s="1254"/>
      <c r="G60" s="1254"/>
      <c r="H60" s="1271"/>
      <c r="I60" s="1271"/>
      <c r="J60" s="1110"/>
      <c r="EN60" s="1468"/>
      <c r="EO60" s="1468"/>
      <c r="EP60" s="1468"/>
      <c r="EQ60" s="1468"/>
      <c r="ER60" s="1468"/>
      <c r="ES60" s="1468"/>
      <c r="ET60" s="1468"/>
      <c r="EU60" s="1468"/>
      <c r="EV60" s="1468"/>
      <c r="EW60" s="1468"/>
      <c r="EX60" s="1469"/>
      <c r="EY60" s="1469"/>
      <c r="EZ60" s="1470"/>
      <c r="FA60" s="1470"/>
      <c r="FB60" s="1055"/>
      <c r="FC60" s="1055"/>
      <c r="FD60" s="1104">
        <v>42187</v>
      </c>
      <c r="FE60" s="1055">
        <v>1</v>
      </c>
      <c r="FF60" s="1055">
        <v>61.6556</v>
      </c>
      <c r="FG60" s="1055"/>
      <c r="FH60" s="1055"/>
      <c r="FI60" s="1055"/>
      <c r="FJ60" s="1055"/>
      <c r="FK60" s="1055"/>
      <c r="FL60" s="1055"/>
      <c r="FM60" s="1055"/>
      <c r="FN60" s="1055"/>
      <c r="FO60" s="1055"/>
      <c r="FP60" s="1055"/>
      <c r="FQ60" s="1055"/>
      <c r="FR60" s="1081"/>
      <c r="FS60" s="1122"/>
      <c r="FT60" s="1123"/>
      <c r="FU60" s="1114">
        <f ca="1">((3*9)*80+8.3764-89.0559-0.0000083333333-1500-579+12-0.3204916666668+3-(-2))*$FT$53</f>
        <v>1456.1231000000034</v>
      </c>
      <c r="FV60" s="1124" t="s">
        <v>2217</v>
      </c>
      <c r="FW60" s="1279"/>
      <c r="FX60" s="1279"/>
      <c r="FY60" s="1478"/>
      <c r="FZ60" s="1478"/>
      <c r="GA60" s="1478"/>
      <c r="GB60" s="1478"/>
      <c r="GC60" s="1478"/>
      <c r="GD60" s="1478"/>
      <c r="GE60" s="1468"/>
      <c r="GF60" s="1468"/>
      <c r="GG60" s="1468"/>
      <c r="GH60" s="1468"/>
    </row>
    <row r="61" spans="1:190" s="1279" customFormat="1" ht="28.5" customHeight="1" x14ac:dyDescent="0.15">
      <c r="A61" s="1274"/>
      <c r="B61" s="1274"/>
      <c r="C61" s="1275"/>
      <c r="D61" s="1275"/>
      <c r="E61" s="1276"/>
      <c r="F61" s="1277"/>
      <c r="G61" s="1277"/>
      <c r="H61" s="1277"/>
      <c r="I61" s="1277"/>
      <c r="J61" s="1278"/>
      <c r="EN61" s="1479"/>
      <c r="EO61" s="1479"/>
      <c r="EP61" s="1479"/>
      <c r="EQ61" s="1479"/>
      <c r="ER61" s="1479"/>
      <c r="ES61" s="1479"/>
      <c r="ET61" s="1479"/>
      <c r="EU61" s="1479"/>
      <c r="EV61" s="1479"/>
      <c r="EW61" s="1479"/>
      <c r="EX61" s="1480"/>
      <c r="EY61" s="1480"/>
      <c r="EZ61" s="1470"/>
      <c r="FA61" s="1470"/>
      <c r="FB61" s="1055"/>
      <c r="FC61" s="1055"/>
      <c r="FD61" s="1104">
        <v>42188</v>
      </c>
      <c r="FE61" s="1055">
        <v>1</v>
      </c>
      <c r="FF61" s="1055">
        <v>61.566099999999999</v>
      </c>
      <c r="FG61" s="1055"/>
      <c r="FH61" s="1055"/>
      <c r="FI61" s="1055"/>
      <c r="FJ61" s="1055"/>
      <c r="FK61" s="1055"/>
      <c r="FL61" s="1055"/>
      <c r="FM61" s="1055"/>
      <c r="FN61" s="1055"/>
      <c r="FO61" s="1055"/>
      <c r="FP61" s="1055"/>
      <c r="FQ61" s="1055"/>
      <c r="FR61" s="1081"/>
      <c r="FS61" s="1122"/>
      <c r="FT61" s="1123"/>
      <c r="FU61" s="1114">
        <f ca="1">((((3*9)*80+8.3764-89.0559-0.0000083333333-1500-579+12-0.3204916666668+3-(-2))*1.2353)-0.0001)*$FT$53</f>
        <v>1798.7403000000045</v>
      </c>
      <c r="FV61" s="1124" t="s">
        <v>2218</v>
      </c>
      <c r="FY61" s="1479"/>
      <c r="FZ61" s="1479"/>
      <c r="GA61" s="1479"/>
      <c r="GB61" s="1479"/>
      <c r="GC61" s="1479"/>
      <c r="GD61" s="1479"/>
      <c r="GE61" s="1479"/>
      <c r="GF61" s="1479"/>
      <c r="GG61" s="1479"/>
      <c r="GH61" s="1479"/>
    </row>
    <row r="62" spans="1:190" s="1279" customFormat="1" ht="28.5" customHeight="1" x14ac:dyDescent="0.25">
      <c r="A62" s="1055"/>
      <c r="B62" s="1055"/>
      <c r="C62" s="1280"/>
      <c r="D62" s="1281"/>
      <c r="E62" s="1276"/>
      <c r="F62" s="1277"/>
      <c r="G62" s="1277"/>
      <c r="H62" s="1277"/>
      <c r="I62" s="1277"/>
      <c r="J62" s="1278"/>
      <c r="EN62" s="1479"/>
      <c r="EO62" s="1479"/>
      <c r="EP62" s="1479"/>
      <c r="EQ62" s="1479"/>
      <c r="ER62" s="1479"/>
      <c r="ES62" s="1479"/>
      <c r="ET62" s="1479"/>
      <c r="EU62" s="1479"/>
      <c r="EV62" s="1479"/>
      <c r="EW62" s="1479"/>
      <c r="EX62" s="1480"/>
      <c r="EY62" s="1480"/>
      <c r="EZ62" s="1470"/>
      <c r="FA62" s="1470"/>
      <c r="FB62" s="1055"/>
      <c r="FC62" s="1055"/>
      <c r="FD62" s="1104">
        <v>42189</v>
      </c>
      <c r="FE62" s="1055">
        <v>1</v>
      </c>
      <c r="FF62" s="1055">
        <v>61.749200000000002</v>
      </c>
      <c r="FG62" s="1055"/>
      <c r="FH62" s="1055"/>
      <c r="FI62" s="1055"/>
      <c r="FJ62" s="1055"/>
      <c r="FK62" s="1055"/>
      <c r="FL62" s="1055"/>
      <c r="FM62" s="1055"/>
      <c r="FN62" s="1055"/>
      <c r="FO62" s="1055"/>
      <c r="FP62" s="1055"/>
      <c r="FQ62" s="1055"/>
      <c r="FR62" s="1055"/>
      <c r="FS62" s="1055"/>
      <c r="FT62" s="1055"/>
      <c r="FU62" s="1055"/>
      <c r="FV62" s="1055"/>
      <c r="FY62" s="1479"/>
      <c r="FZ62" s="1479"/>
      <c r="GA62" s="1479"/>
      <c r="GB62" s="1479"/>
      <c r="GC62" s="1479"/>
      <c r="GD62" s="1479"/>
      <c r="GE62" s="1479"/>
      <c r="GF62" s="1479"/>
      <c r="GG62" s="1479"/>
      <c r="GH62" s="1479"/>
    </row>
    <row r="63" spans="1:190" s="1279" customFormat="1" ht="28.5" customHeight="1" x14ac:dyDescent="0.25">
      <c r="A63" s="1055"/>
      <c r="B63" s="1055"/>
      <c r="C63" s="1280"/>
      <c r="D63" s="1276"/>
      <c r="E63" s="1276"/>
      <c r="F63" s="1277"/>
      <c r="G63" s="1277"/>
      <c r="H63" s="1277"/>
      <c r="I63" s="1277"/>
      <c r="J63" s="1278"/>
      <c r="EN63" s="1479"/>
      <c r="EO63" s="1479"/>
      <c r="EP63" s="1479"/>
      <c r="EQ63" s="1479"/>
      <c r="ER63" s="1479"/>
      <c r="ES63" s="1479"/>
      <c r="ET63" s="1479"/>
      <c r="EU63" s="1479"/>
      <c r="EV63" s="1479"/>
      <c r="EW63" s="1479"/>
      <c r="EX63" s="1480"/>
      <c r="EY63" s="1480"/>
      <c r="EZ63" s="1470"/>
      <c r="FA63" s="1470"/>
      <c r="FB63" s="1055"/>
      <c r="FC63" s="1055"/>
      <c r="FD63" s="1104">
        <v>42192</v>
      </c>
      <c r="FE63" s="1055">
        <v>1</v>
      </c>
      <c r="FF63" s="1055">
        <v>62.424599999999998</v>
      </c>
      <c r="FG63" s="1055"/>
      <c r="FH63" s="1055"/>
      <c r="FI63" s="1055"/>
      <c r="FJ63" s="1055"/>
      <c r="FK63" s="1055"/>
      <c r="FL63" s="1055"/>
      <c r="FM63" s="1055"/>
      <c r="FN63" s="1055"/>
      <c r="FO63" s="1055"/>
      <c r="FP63" s="1055"/>
      <c r="FQ63" s="1055"/>
      <c r="FR63" s="1055"/>
      <c r="FS63" s="1055"/>
      <c r="FT63" s="1055"/>
      <c r="FU63" s="1055"/>
      <c r="FV63" s="1055"/>
      <c r="FY63" s="1479"/>
      <c r="FZ63" s="1479"/>
      <c r="GA63" s="1479"/>
      <c r="GB63" s="1479"/>
      <c r="GC63" s="1479"/>
      <c r="GD63" s="1479"/>
      <c r="GE63" s="1479"/>
      <c r="GF63" s="1479"/>
      <c r="GG63" s="1479"/>
      <c r="GH63" s="1479"/>
    </row>
    <row r="64" spans="1:190" s="1279" customFormat="1" ht="28.5" customHeight="1" x14ac:dyDescent="0.25">
      <c r="A64" s="1055"/>
      <c r="B64" s="1055"/>
      <c r="C64" s="1055"/>
      <c r="D64" s="1055"/>
      <c r="E64" s="1282"/>
      <c r="F64" s="1277"/>
      <c r="G64" s="1277"/>
      <c r="H64" s="1277"/>
      <c r="I64" s="1277"/>
      <c r="J64" s="1278"/>
      <c r="EN64" s="1479"/>
      <c r="EO64" s="1479"/>
      <c r="EP64" s="1479"/>
      <c r="EQ64" s="1479"/>
      <c r="ER64" s="1479"/>
      <c r="ES64" s="1479"/>
      <c r="ET64" s="1479"/>
      <c r="EU64" s="1479"/>
      <c r="EV64" s="1479"/>
      <c r="EW64" s="1479"/>
      <c r="EX64" s="1480"/>
      <c r="EY64" s="1480"/>
      <c r="EZ64" s="1470"/>
      <c r="FA64" s="1470"/>
      <c r="FB64" s="1055"/>
      <c r="FC64" s="1055"/>
      <c r="FD64" s="1104">
        <v>42193</v>
      </c>
      <c r="FE64" s="1055">
        <v>1</v>
      </c>
      <c r="FF64" s="1055">
        <v>63.0441</v>
      </c>
      <c r="FG64" s="1055"/>
      <c r="FH64" s="1055"/>
      <c r="FI64" s="1055"/>
      <c r="FJ64" s="1055"/>
      <c r="FK64" s="1055"/>
      <c r="FL64" s="1055"/>
      <c r="FM64" s="1055"/>
      <c r="FN64" s="1055"/>
      <c r="FO64" s="1055"/>
      <c r="FP64" s="1055"/>
      <c r="FQ64" s="1055"/>
      <c r="FR64" s="1055"/>
      <c r="FS64" s="1055"/>
      <c r="FT64" s="1055"/>
      <c r="FU64" s="1055"/>
      <c r="FV64" s="1055"/>
      <c r="FY64" s="1479"/>
      <c r="FZ64" s="1479"/>
      <c r="GA64" s="1479"/>
      <c r="GB64" s="1479"/>
      <c r="GC64" s="1479"/>
      <c r="GD64" s="1479"/>
      <c r="GE64" s="1479"/>
      <c r="GF64" s="1479"/>
      <c r="GG64" s="1479"/>
      <c r="GH64" s="1479"/>
    </row>
    <row r="65" spans="1:190" s="1279" customFormat="1" ht="28.5" customHeight="1" x14ac:dyDescent="0.25">
      <c r="A65" s="1055"/>
      <c r="B65" s="1055"/>
      <c r="C65" s="1055"/>
      <c r="D65" s="1055"/>
      <c r="E65" s="1282"/>
      <c r="F65" s="1055"/>
      <c r="G65" s="1055"/>
      <c r="H65" s="1283"/>
      <c r="I65" s="1055"/>
      <c r="J65" s="1278"/>
      <c r="EN65" s="1479"/>
      <c r="EO65" s="1479"/>
      <c r="EP65" s="1479"/>
      <c r="EQ65" s="1479"/>
      <c r="ER65" s="1479"/>
      <c r="ES65" s="1479"/>
      <c r="ET65" s="1479"/>
      <c r="EU65" s="1479"/>
      <c r="EV65" s="1479"/>
      <c r="EW65" s="1479"/>
      <c r="EX65" s="1480"/>
      <c r="EY65" s="1480"/>
      <c r="EZ65" s="1470"/>
      <c r="FA65" s="1470"/>
      <c r="FB65" s="1055"/>
      <c r="FC65" s="1055"/>
      <c r="FD65" s="1104">
        <v>42194</v>
      </c>
      <c r="FE65" s="1055">
        <v>1</v>
      </c>
      <c r="FF65" s="1055">
        <v>63.0822</v>
      </c>
      <c r="FG65" s="1055"/>
      <c r="FH65" s="1055"/>
      <c r="FI65" s="1055"/>
      <c r="FJ65" s="1055"/>
      <c r="FK65" s="1055"/>
      <c r="FL65" s="1055"/>
      <c r="FM65" s="1055"/>
      <c r="FN65" s="1055"/>
      <c r="FO65" s="1055"/>
      <c r="FP65" s="1055"/>
      <c r="FQ65" s="1055"/>
      <c r="FR65" s="1055"/>
      <c r="FS65" s="1055"/>
      <c r="FT65" s="1055"/>
      <c r="FU65" s="1055"/>
      <c r="FV65" s="1055"/>
      <c r="FY65" s="1479"/>
      <c r="FZ65" s="1479"/>
      <c r="GA65" s="1479"/>
      <c r="GB65" s="1479"/>
      <c r="GC65" s="1479"/>
      <c r="GD65" s="1479"/>
      <c r="GE65" s="1479"/>
      <c r="GF65" s="1479"/>
      <c r="GG65" s="1479"/>
      <c r="GH65" s="1479"/>
    </row>
    <row r="66" spans="1:190" s="1279" customFormat="1" x14ac:dyDescent="0.25">
      <c r="A66" s="1055"/>
      <c r="B66" s="1055"/>
      <c r="C66" s="1055"/>
      <c r="D66" s="1055"/>
      <c r="E66" s="1283"/>
      <c r="F66" s="1055"/>
      <c r="G66" s="1055"/>
      <c r="H66" s="1055"/>
      <c r="I66" s="1055"/>
      <c r="J66" s="1278"/>
      <c r="EN66" s="1479"/>
      <c r="EO66" s="1479"/>
      <c r="EP66" s="1479"/>
      <c r="EQ66" s="1479"/>
      <c r="ER66" s="1479"/>
      <c r="ES66" s="1479"/>
      <c r="ET66" s="1479"/>
      <c r="EU66" s="1479"/>
      <c r="EV66" s="1479"/>
      <c r="EW66" s="1479"/>
      <c r="EX66" s="1480"/>
      <c r="EY66" s="1480"/>
      <c r="EZ66" s="1470"/>
      <c r="FA66" s="1470"/>
      <c r="FB66" s="1055"/>
      <c r="FC66" s="1055"/>
      <c r="FD66" s="1104">
        <v>42195</v>
      </c>
      <c r="FE66" s="1055">
        <v>1</v>
      </c>
      <c r="FF66" s="1055">
        <v>63.042999999999999</v>
      </c>
      <c r="FG66" s="1055"/>
      <c r="FH66" s="1055"/>
      <c r="FI66" s="1055"/>
      <c r="FJ66" s="1055"/>
      <c r="FK66" s="1055"/>
      <c r="FL66" s="1055"/>
      <c r="FM66" s="1055"/>
      <c r="FN66" s="1055"/>
      <c r="FO66" s="1055"/>
      <c r="FP66" s="1055"/>
      <c r="FQ66" s="1055"/>
      <c r="FR66" s="1055"/>
      <c r="FS66" s="1055"/>
      <c r="FT66" s="1055"/>
      <c r="FU66" s="1055"/>
      <c r="FV66" s="1055"/>
      <c r="FW66" s="1055"/>
      <c r="FX66" s="1280"/>
      <c r="FY66" s="1471"/>
      <c r="FZ66" s="1471"/>
      <c r="GA66" s="1471"/>
      <c r="GB66" s="1479"/>
      <c r="GC66" s="1479"/>
      <c r="GD66" s="1479"/>
      <c r="GE66" s="1479"/>
      <c r="GF66" s="1479"/>
      <c r="GG66" s="1479"/>
      <c r="GH66" s="1479"/>
    </row>
    <row r="67" spans="1:190" s="1279" customFormat="1" x14ac:dyDescent="0.25">
      <c r="A67" s="1055"/>
      <c r="B67" s="1055"/>
      <c r="C67" s="1055"/>
      <c r="D67" s="1055"/>
      <c r="E67" s="1114"/>
      <c r="F67" s="1055"/>
      <c r="G67" s="1283"/>
      <c r="H67" s="1055"/>
      <c r="I67" s="1055"/>
      <c r="J67" s="1278"/>
      <c r="EN67" s="1479"/>
      <c r="EO67" s="1479"/>
      <c r="EP67" s="1479"/>
      <c r="EQ67" s="1479"/>
      <c r="ER67" s="1479"/>
      <c r="ES67" s="1479"/>
      <c r="ET67" s="1479"/>
      <c r="EU67" s="1479"/>
      <c r="EV67" s="1479"/>
      <c r="EW67" s="1479"/>
      <c r="EX67" s="1480"/>
      <c r="EY67" s="1480"/>
      <c r="EZ67" s="1470"/>
      <c r="FA67" s="1470"/>
      <c r="FB67" s="1055"/>
      <c r="FC67" s="1055"/>
      <c r="FD67" s="1104">
        <v>42196</v>
      </c>
      <c r="FE67" s="1055">
        <v>1</v>
      </c>
      <c r="FF67" s="1055">
        <v>62.947400000000002</v>
      </c>
      <c r="FG67" s="1055"/>
      <c r="FH67" s="1055"/>
      <c r="FI67" s="1055"/>
      <c r="FJ67" s="1055"/>
      <c r="FK67" s="1055"/>
      <c r="FL67" s="1055"/>
      <c r="FM67" s="1055"/>
      <c r="FN67" s="1055"/>
      <c r="FO67" s="1055"/>
      <c r="FP67" s="1055"/>
      <c r="FQ67" s="1055"/>
      <c r="FR67" s="1055"/>
      <c r="FS67" s="1055"/>
      <c r="FT67" s="1055"/>
      <c r="FU67" s="1055"/>
      <c r="FV67" s="1055"/>
      <c r="FW67" s="1055"/>
      <c r="FX67" s="1055"/>
      <c r="FY67" s="1471"/>
      <c r="FZ67" s="1471"/>
      <c r="GA67" s="1471"/>
      <c r="GB67" s="1479"/>
      <c r="GC67" s="1479"/>
      <c r="GD67" s="1479"/>
      <c r="GE67" s="1479"/>
      <c r="GF67" s="1479"/>
      <c r="GG67" s="1479"/>
      <c r="GH67" s="1479"/>
    </row>
    <row r="68" spans="1:190" s="1279" customFormat="1" ht="28.5" customHeight="1" x14ac:dyDescent="0.25">
      <c r="A68" s="1055"/>
      <c r="B68" s="1282"/>
      <c r="C68" s="1055"/>
      <c r="D68" s="1055"/>
      <c r="E68" s="1114"/>
      <c r="F68" s="1055"/>
      <c r="G68" s="1055"/>
      <c r="H68" s="1055"/>
      <c r="I68" s="1055"/>
      <c r="J68" s="1278"/>
      <c r="EN68" s="1479"/>
      <c r="EO68" s="1479"/>
      <c r="EP68" s="1479"/>
      <c r="EQ68" s="1479"/>
      <c r="ER68" s="1479"/>
      <c r="ES68" s="1479"/>
      <c r="ET68" s="1479"/>
      <c r="EU68" s="1479"/>
      <c r="EV68" s="1479"/>
      <c r="EW68" s="1479"/>
      <c r="EX68" s="1480"/>
      <c r="EY68" s="1480"/>
      <c r="EZ68" s="1470"/>
      <c r="FA68" s="1470"/>
      <c r="FB68" s="1055"/>
      <c r="FC68" s="1055"/>
      <c r="FD68" s="1104">
        <v>42199</v>
      </c>
      <c r="FE68" s="1055">
        <v>1</v>
      </c>
      <c r="FF68" s="1055">
        <v>62.981900000000003</v>
      </c>
      <c r="FG68" s="1055"/>
      <c r="FH68" s="1055"/>
      <c r="FI68" s="1055"/>
      <c r="FJ68" s="1055"/>
      <c r="FK68" s="1055"/>
      <c r="FL68" s="1055"/>
      <c r="FM68" s="1055"/>
      <c r="FN68" s="1055"/>
      <c r="FO68" s="1055"/>
      <c r="FP68" s="1055"/>
      <c r="FQ68" s="1055"/>
      <c r="FR68" s="1055"/>
      <c r="FS68" s="1055"/>
      <c r="FT68" s="1055"/>
      <c r="FU68" s="1055"/>
      <c r="FV68" s="1055"/>
      <c r="FW68" s="1055"/>
      <c r="FX68" s="1055"/>
      <c r="FY68" s="1471"/>
      <c r="FZ68" s="1471"/>
      <c r="GA68" s="1471"/>
      <c r="GB68" s="1479"/>
      <c r="GC68" s="1479"/>
      <c r="GD68" s="1479"/>
      <c r="GE68" s="1479"/>
      <c r="GF68" s="1479"/>
      <c r="GG68" s="1479"/>
      <c r="GH68" s="1479"/>
    </row>
    <row r="69" spans="1:190" s="1279" customFormat="1" ht="28.5" customHeight="1" x14ac:dyDescent="0.25">
      <c r="A69" s="1284"/>
      <c r="B69" s="1282"/>
      <c r="C69" s="1055"/>
      <c r="D69" s="1055"/>
      <c r="E69" s="1055"/>
      <c r="F69" s="1055"/>
      <c r="G69" s="1055"/>
      <c r="H69" s="1055"/>
      <c r="I69" s="1055"/>
      <c r="J69" s="1278"/>
      <c r="EN69" s="1479"/>
      <c r="EO69" s="1479"/>
      <c r="EP69" s="1479"/>
      <c r="EQ69" s="1479"/>
      <c r="ER69" s="1479"/>
      <c r="ES69" s="1479"/>
      <c r="ET69" s="1479"/>
      <c r="EU69" s="1479"/>
      <c r="EV69" s="1479"/>
      <c r="EW69" s="1479"/>
      <c r="EX69" s="1480"/>
      <c r="EY69" s="1480"/>
      <c r="EZ69" s="1470"/>
      <c r="FA69" s="1470"/>
      <c r="FB69" s="1055"/>
      <c r="FC69" s="1055"/>
      <c r="FD69" s="1104">
        <v>42200</v>
      </c>
      <c r="FE69" s="1055">
        <v>1</v>
      </c>
      <c r="FF69" s="1055">
        <v>62.623899999999999</v>
      </c>
      <c r="FG69" s="1055"/>
      <c r="FH69" s="1055"/>
      <c r="FI69" s="1055"/>
      <c r="FJ69" s="1055"/>
      <c r="FK69" s="1055"/>
      <c r="FL69" s="1055"/>
      <c r="FM69" s="1055"/>
      <c r="FN69" s="1055"/>
      <c r="FO69" s="1055"/>
      <c r="FP69" s="1055"/>
      <c r="FQ69" s="1055"/>
      <c r="FR69" s="1055"/>
      <c r="FS69" s="1055"/>
      <c r="FT69" s="1055"/>
      <c r="FU69" s="1055"/>
      <c r="FV69" s="1055"/>
      <c r="FW69" s="1055"/>
      <c r="FX69" s="1055"/>
      <c r="FY69" s="1471"/>
      <c r="FZ69" s="1471"/>
      <c r="GA69" s="1471"/>
      <c r="GB69" s="1479"/>
      <c r="GC69" s="1479"/>
      <c r="GD69" s="1479"/>
      <c r="GE69" s="1479"/>
      <c r="GF69" s="1479"/>
      <c r="GG69" s="1479"/>
      <c r="GH69" s="1479"/>
    </row>
    <row r="70" spans="1:190" s="1279" customFormat="1" ht="28.5" customHeight="1" x14ac:dyDescent="0.25">
      <c r="A70" s="1055"/>
      <c r="B70" s="1055"/>
      <c r="C70" s="1055"/>
      <c r="D70" s="1055"/>
      <c r="E70" s="1055"/>
      <c r="F70" s="1055"/>
      <c r="G70" s="1055"/>
      <c r="H70" s="1055"/>
      <c r="I70" s="1055"/>
      <c r="J70" s="1278"/>
      <c r="EN70" s="1479"/>
      <c r="EO70" s="1479"/>
      <c r="EP70" s="1479"/>
      <c r="EQ70" s="1479"/>
      <c r="ER70" s="1479"/>
      <c r="ES70" s="1479"/>
      <c r="ET70" s="1479"/>
      <c r="EU70" s="1479"/>
      <c r="EV70" s="1479"/>
      <c r="EW70" s="1479"/>
      <c r="EX70" s="1480"/>
      <c r="EY70" s="1480"/>
      <c r="EZ70" s="1470"/>
      <c r="FA70" s="1470"/>
      <c r="FB70" s="1055"/>
      <c r="FC70" s="1055"/>
      <c r="FD70" s="1104">
        <v>42201</v>
      </c>
      <c r="FE70" s="1055">
        <v>1</v>
      </c>
      <c r="FF70" s="1055">
        <v>62.398600000000002</v>
      </c>
      <c r="FG70" s="1055"/>
      <c r="FH70" s="1055"/>
      <c r="FI70" s="1055"/>
      <c r="FJ70" s="1055"/>
      <c r="FK70" s="1055"/>
      <c r="FL70" s="1055"/>
      <c r="FM70" s="1055"/>
      <c r="FN70" s="1055"/>
      <c r="FO70" s="1055"/>
      <c r="FP70" s="1055"/>
      <c r="FQ70" s="1055"/>
      <c r="FR70" s="1055"/>
      <c r="FS70" s="1055"/>
      <c r="FT70" s="1055"/>
      <c r="FU70" s="1055"/>
      <c r="FV70" s="1055"/>
      <c r="FW70" s="1055"/>
      <c r="FX70" s="1055"/>
      <c r="FY70" s="1471"/>
      <c r="FZ70" s="1471"/>
      <c r="GA70" s="1471"/>
      <c r="GB70" s="1479"/>
      <c r="GC70" s="1479"/>
      <c r="GD70" s="1479"/>
      <c r="GE70" s="1479"/>
      <c r="GF70" s="1479"/>
      <c r="GG70" s="1479"/>
      <c r="GH70" s="1479"/>
    </row>
    <row r="71" spans="1:190" s="1279" customFormat="1" ht="28.5" customHeight="1" x14ac:dyDescent="0.25">
      <c r="A71" s="1055"/>
      <c r="B71" s="1055"/>
      <c r="C71" s="1055"/>
      <c r="D71" s="1055"/>
      <c r="E71" s="1055"/>
      <c r="F71" s="1055"/>
      <c r="G71" s="1055"/>
      <c r="H71" s="1055"/>
      <c r="I71" s="1055"/>
      <c r="J71" s="1278"/>
      <c r="EN71" s="1479"/>
      <c r="EO71" s="1479"/>
      <c r="EP71" s="1479"/>
      <c r="EQ71" s="1479"/>
      <c r="ER71" s="1479"/>
      <c r="ES71" s="1479"/>
      <c r="ET71" s="1479"/>
      <c r="EU71" s="1479"/>
      <c r="EV71" s="1479"/>
      <c r="EW71" s="1479"/>
      <c r="EX71" s="1480"/>
      <c r="EY71" s="1480"/>
      <c r="EZ71" s="1470"/>
      <c r="FA71" s="1470"/>
      <c r="FB71" s="1055"/>
      <c r="FC71" s="1055"/>
      <c r="FD71" s="1104">
        <v>42202</v>
      </c>
      <c r="FE71" s="1055">
        <v>1</v>
      </c>
      <c r="FF71" s="1055">
        <v>62.184100000000001</v>
      </c>
      <c r="FG71" s="1055"/>
      <c r="FH71" s="1055"/>
      <c r="FI71" s="1055"/>
      <c r="FJ71" s="1055"/>
      <c r="FK71" s="1055"/>
      <c r="FL71" s="1055"/>
      <c r="FM71" s="1055"/>
      <c r="FN71" s="1055"/>
      <c r="FO71" s="1055"/>
      <c r="FP71" s="1055"/>
      <c r="FQ71" s="1055"/>
      <c r="FR71" s="1055"/>
      <c r="FS71" s="1055"/>
      <c r="FT71" s="1055"/>
      <c r="FU71" s="1055"/>
      <c r="FV71" s="1055"/>
      <c r="FW71" s="1055"/>
      <c r="FX71" s="1055"/>
      <c r="FY71" s="1471"/>
      <c r="FZ71" s="1471"/>
      <c r="GA71" s="1471"/>
      <c r="GB71" s="1479"/>
      <c r="GC71" s="1479"/>
      <c r="GD71" s="1479"/>
      <c r="GE71" s="1479"/>
      <c r="GF71" s="1479"/>
      <c r="GG71" s="1479"/>
      <c r="GH71" s="1479"/>
    </row>
    <row r="72" spans="1:190" s="1279" customFormat="1" ht="28.5" customHeight="1" x14ac:dyDescent="0.25">
      <c r="A72" s="1285"/>
      <c r="B72" s="1055"/>
      <c r="C72" s="1055"/>
      <c r="D72" s="1055"/>
      <c r="E72" s="1055"/>
      <c r="F72" s="1055"/>
      <c r="G72" s="1055"/>
      <c r="H72" s="1055"/>
      <c r="I72" s="1055"/>
      <c r="J72" s="1278"/>
      <c r="EN72" s="1479"/>
      <c r="EO72" s="1479"/>
      <c r="EP72" s="1479"/>
      <c r="EQ72" s="1479"/>
      <c r="ER72" s="1479"/>
      <c r="ES72" s="1479"/>
      <c r="ET72" s="1479"/>
      <c r="EU72" s="1479"/>
      <c r="EV72" s="1479"/>
      <c r="EW72" s="1479"/>
      <c r="EX72" s="1480"/>
      <c r="EY72" s="1480"/>
      <c r="EZ72" s="1470"/>
      <c r="FA72" s="1470"/>
      <c r="FB72" s="1055"/>
      <c r="FC72" s="1055"/>
      <c r="FD72" s="1104">
        <v>42203</v>
      </c>
      <c r="FE72" s="1055">
        <v>1</v>
      </c>
      <c r="FF72" s="1055">
        <v>61.918300000000002</v>
      </c>
      <c r="FG72" s="1055"/>
      <c r="FH72" s="1055"/>
      <c r="FI72" s="1055"/>
      <c r="FJ72" s="1055"/>
      <c r="FK72" s="1055"/>
      <c r="FL72" s="1055"/>
      <c r="FM72" s="1055"/>
      <c r="FN72" s="1055"/>
      <c r="FO72" s="1055"/>
      <c r="FP72" s="1055"/>
      <c r="FQ72" s="1055"/>
      <c r="FR72" s="1055"/>
      <c r="FS72" s="1055"/>
      <c r="FT72" s="1055"/>
      <c r="FU72" s="1055"/>
      <c r="FV72" s="1055"/>
      <c r="FW72" s="1055"/>
      <c r="FX72" s="1055"/>
      <c r="FY72" s="1471"/>
      <c r="FZ72" s="1471"/>
      <c r="GA72" s="1471"/>
      <c r="GB72" s="1479"/>
      <c r="GC72" s="1479"/>
      <c r="GD72" s="1479"/>
      <c r="GE72" s="1479"/>
      <c r="GF72" s="1479"/>
      <c r="GG72" s="1479"/>
      <c r="GH72" s="1479"/>
    </row>
    <row r="73" spans="1:190" s="1279" customFormat="1" ht="28.5" customHeight="1" x14ac:dyDescent="0.25">
      <c r="A73" s="1282"/>
      <c r="B73" s="1055"/>
      <c r="C73" s="1055"/>
      <c r="D73" s="1055"/>
      <c r="E73" s="1055"/>
      <c r="F73" s="1055"/>
      <c r="G73" s="1055"/>
      <c r="H73" s="1055"/>
      <c r="I73" s="1055"/>
      <c r="J73" s="1278"/>
      <c r="EN73" s="1479"/>
      <c r="EO73" s="1479"/>
      <c r="EP73" s="1479"/>
      <c r="EQ73" s="1479"/>
      <c r="ER73" s="1479"/>
      <c r="ES73" s="1479"/>
      <c r="ET73" s="1479"/>
      <c r="EU73" s="1479"/>
      <c r="EV73" s="1479"/>
      <c r="EW73" s="1479"/>
      <c r="EX73" s="1480"/>
      <c r="EY73" s="1480"/>
      <c r="EZ73" s="1470"/>
      <c r="FA73" s="1470"/>
      <c r="FB73" s="1055"/>
      <c r="FC73" s="1055"/>
      <c r="FD73" s="1104">
        <v>42206</v>
      </c>
      <c r="FE73" s="1055">
        <v>1</v>
      </c>
      <c r="FF73" s="1055">
        <v>61.692900000000002</v>
      </c>
      <c r="FG73" s="1055"/>
      <c r="FH73" s="1055"/>
      <c r="FI73" s="1055"/>
      <c r="FJ73" s="1055"/>
      <c r="FK73" s="1055"/>
      <c r="FL73" s="1055"/>
      <c r="FM73" s="1055"/>
      <c r="FN73" s="1055"/>
      <c r="FO73" s="1055"/>
      <c r="FP73" s="1055"/>
      <c r="FQ73" s="1055"/>
      <c r="FR73" s="1055"/>
      <c r="FS73" s="1055"/>
      <c r="FT73" s="1055"/>
      <c r="FU73" s="1055"/>
      <c r="FV73" s="1055"/>
      <c r="FW73" s="1055"/>
      <c r="FX73" s="1055"/>
      <c r="FY73" s="1471"/>
      <c r="FZ73" s="1471"/>
      <c r="GA73" s="1471"/>
      <c r="GB73" s="1479"/>
      <c r="GC73" s="1479"/>
      <c r="GD73" s="1479"/>
      <c r="GE73" s="1479"/>
      <c r="GF73" s="1479"/>
      <c r="GG73" s="1479"/>
      <c r="GH73" s="1479"/>
    </row>
    <row r="74" spans="1:190" s="1279" customFormat="1" ht="28.5" customHeight="1" x14ac:dyDescent="0.25">
      <c r="A74" s="1282"/>
      <c r="B74" s="1055"/>
      <c r="C74" s="1055"/>
      <c r="D74" s="1055"/>
      <c r="E74" s="1055"/>
      <c r="F74" s="1055"/>
      <c r="G74" s="1055"/>
      <c r="H74" s="1055"/>
      <c r="I74" s="1286"/>
      <c r="J74" s="1278"/>
      <c r="EN74" s="1479"/>
      <c r="EO74" s="1479"/>
      <c r="EP74" s="1479"/>
      <c r="EQ74" s="1479"/>
      <c r="ER74" s="1479"/>
      <c r="ES74" s="1479"/>
      <c r="ET74" s="1479"/>
      <c r="EU74" s="1479"/>
      <c r="EV74" s="1479"/>
      <c r="EW74" s="1479"/>
      <c r="EX74" s="1480"/>
      <c r="EY74" s="1480"/>
      <c r="EZ74" s="1470"/>
      <c r="FA74" s="1470"/>
      <c r="FB74" s="1055"/>
      <c r="FC74" s="1055"/>
      <c r="FD74" s="1104">
        <v>42207</v>
      </c>
      <c r="FE74" s="1055">
        <v>1</v>
      </c>
      <c r="FF74" s="1055">
        <v>61.7622</v>
      </c>
      <c r="FG74" s="1055"/>
      <c r="FH74" s="1055"/>
      <c r="FI74" s="1055"/>
      <c r="FJ74" s="1055"/>
      <c r="FK74" s="1055"/>
      <c r="FL74" s="1055"/>
      <c r="FM74" s="1055"/>
      <c r="FN74" s="1055"/>
      <c r="FO74" s="1055"/>
      <c r="FP74" s="1055"/>
      <c r="FQ74" s="1055"/>
      <c r="FR74" s="1055"/>
      <c r="FS74" s="1055"/>
      <c r="FT74" s="1055"/>
      <c r="FU74" s="1055"/>
      <c r="FV74" s="1055"/>
      <c r="FW74" s="1055"/>
      <c r="FX74" s="1055"/>
      <c r="FY74" s="1471"/>
      <c r="FZ74" s="1471"/>
      <c r="GA74" s="1471"/>
      <c r="GB74" s="1479"/>
      <c r="GC74" s="1479"/>
      <c r="GD74" s="1479"/>
      <c r="GE74" s="1479"/>
      <c r="GF74" s="1479"/>
      <c r="GG74" s="1479"/>
      <c r="GH74" s="1479"/>
    </row>
    <row r="75" spans="1:190" s="1279" customFormat="1" ht="27.75" customHeight="1" x14ac:dyDescent="0.25">
      <c r="A75" s="1055"/>
      <c r="B75" s="1055"/>
      <c r="C75" s="1055"/>
      <c r="D75" s="1055"/>
      <c r="E75" s="1055"/>
      <c r="F75" s="1055"/>
      <c r="G75" s="1055"/>
      <c r="H75" s="1055"/>
      <c r="I75" s="1055"/>
      <c r="J75" s="1287"/>
      <c r="EN75" s="1479"/>
      <c r="EO75" s="1479"/>
      <c r="EP75" s="1479"/>
      <c r="EQ75" s="1479"/>
      <c r="ER75" s="1479"/>
      <c r="ES75" s="1479"/>
      <c r="ET75" s="1479"/>
      <c r="EU75" s="1479"/>
      <c r="EV75" s="1479"/>
      <c r="EW75" s="1479"/>
      <c r="EX75" s="1480"/>
      <c r="EY75" s="1480"/>
      <c r="EZ75" s="1470"/>
      <c r="FA75" s="1470"/>
      <c r="FB75" s="1055"/>
      <c r="FC75" s="1055"/>
      <c r="FD75" s="1104">
        <v>42208</v>
      </c>
      <c r="FE75" s="1055">
        <v>1</v>
      </c>
      <c r="FF75" s="1055">
        <v>62.394799999999996</v>
      </c>
      <c r="FG75" s="1055"/>
      <c r="FH75" s="1055"/>
      <c r="FI75" s="1055"/>
      <c r="FJ75" s="1055"/>
      <c r="FK75" s="1055"/>
      <c r="FL75" s="1055"/>
      <c r="FM75" s="1055"/>
      <c r="FN75" s="1055"/>
      <c r="FO75" s="1055"/>
      <c r="FP75" s="1055"/>
      <c r="FQ75" s="1055"/>
      <c r="FR75" s="1055"/>
      <c r="FS75" s="1055"/>
      <c r="FT75" s="1055"/>
      <c r="FU75" s="1055"/>
      <c r="FV75" s="1055"/>
      <c r="FW75" s="1055"/>
      <c r="FX75" s="1055"/>
      <c r="FY75" s="1471"/>
      <c r="FZ75" s="1471"/>
      <c r="GA75" s="1471"/>
      <c r="GB75" s="1479"/>
      <c r="GC75" s="1479"/>
      <c r="GD75" s="1479"/>
      <c r="GE75" s="1479"/>
      <c r="GF75" s="1479"/>
      <c r="GG75" s="1479"/>
      <c r="GH75" s="1479"/>
    </row>
    <row r="76" spans="1:190" s="1279" customFormat="1" ht="30.75" customHeight="1" x14ac:dyDescent="0.25">
      <c r="A76" s="1055"/>
      <c r="B76" s="1055"/>
      <c r="C76" s="1055"/>
      <c r="D76" s="1055"/>
      <c r="E76" s="1055"/>
      <c r="F76" s="1055"/>
      <c r="G76" s="1055"/>
      <c r="H76" s="1055"/>
      <c r="I76" s="1286"/>
      <c r="J76" s="1288"/>
      <c r="EN76" s="1479"/>
      <c r="EO76" s="1479"/>
      <c r="EP76" s="1479"/>
      <c r="EQ76" s="1479"/>
      <c r="ER76" s="1479"/>
      <c r="ES76" s="1479"/>
      <c r="ET76" s="1479"/>
      <c r="EU76" s="1479"/>
      <c r="EV76" s="1479"/>
      <c r="EW76" s="1479"/>
      <c r="EX76" s="1480"/>
      <c r="EY76" s="1480"/>
      <c r="EZ76" s="1470"/>
      <c r="FA76" s="1470"/>
      <c r="FB76" s="1055"/>
      <c r="FC76" s="1055"/>
      <c r="FD76" s="1104">
        <v>42209</v>
      </c>
      <c r="FE76" s="1055">
        <v>1</v>
      </c>
      <c r="FF76" s="1055">
        <v>62.933</v>
      </c>
      <c r="FG76" s="1055"/>
      <c r="FH76" s="1055"/>
      <c r="FI76" s="1055"/>
      <c r="FJ76" s="1055"/>
      <c r="FK76" s="1055"/>
      <c r="FL76" s="1055"/>
      <c r="FM76" s="1055"/>
      <c r="FN76" s="1055"/>
      <c r="FO76" s="1055"/>
      <c r="FP76" s="1055"/>
      <c r="FQ76" s="1055"/>
      <c r="FR76" s="1055"/>
      <c r="FS76" s="1055"/>
      <c r="FT76" s="1055"/>
      <c r="FU76" s="1055"/>
      <c r="FV76" s="1055"/>
      <c r="FW76" s="1055"/>
      <c r="FX76" s="1055"/>
      <c r="FY76" s="1471"/>
      <c r="FZ76" s="1471"/>
      <c r="GA76" s="1471"/>
      <c r="GB76" s="1479"/>
      <c r="GC76" s="1479"/>
      <c r="GD76" s="1479"/>
      <c r="GE76" s="1479"/>
      <c r="GF76" s="1479"/>
      <c r="GG76" s="1479"/>
      <c r="GH76" s="1479"/>
    </row>
    <row r="77" spans="1:190" s="1279" customFormat="1" x14ac:dyDescent="0.25">
      <c r="A77" s="1285"/>
      <c r="B77" s="1285"/>
      <c r="C77" s="1285"/>
      <c r="D77" s="1055"/>
      <c r="E77" s="1055"/>
      <c r="F77" s="1285"/>
      <c r="G77" s="1285"/>
      <c r="H77" s="1055"/>
      <c r="I77" s="1283"/>
      <c r="J77" s="1280"/>
      <c r="EN77" s="1479"/>
      <c r="EO77" s="1479"/>
      <c r="EP77" s="1479"/>
      <c r="EQ77" s="1479"/>
      <c r="ER77" s="1479"/>
      <c r="ES77" s="1479"/>
      <c r="ET77" s="1479"/>
      <c r="EU77" s="1479"/>
      <c r="EV77" s="1479"/>
      <c r="EW77" s="1479"/>
      <c r="EX77" s="1480"/>
      <c r="EY77" s="1480"/>
      <c r="EZ77" s="1470"/>
      <c r="FA77" s="1470"/>
      <c r="FB77" s="1055"/>
      <c r="FC77" s="1055"/>
      <c r="FD77" s="1104">
        <v>42210</v>
      </c>
      <c r="FE77" s="1055">
        <v>1</v>
      </c>
      <c r="FF77" s="1055">
        <v>63.609000000000002</v>
      </c>
      <c r="FG77" s="1055"/>
      <c r="FH77" s="1055"/>
      <c r="FI77" s="1055"/>
      <c r="FJ77" s="1055"/>
      <c r="FK77" s="1055"/>
      <c r="FL77" s="1055"/>
      <c r="FM77" s="1055"/>
      <c r="FN77" s="1055"/>
      <c r="FO77" s="1055"/>
      <c r="FP77" s="1055"/>
      <c r="FQ77" s="1055"/>
      <c r="FR77" s="1055"/>
      <c r="FS77" s="1055"/>
      <c r="FT77" s="1055"/>
      <c r="FU77" s="1055"/>
      <c r="FV77" s="1055"/>
      <c r="FW77" s="1055"/>
      <c r="FX77" s="1055"/>
      <c r="FY77" s="1471"/>
      <c r="FZ77" s="1471"/>
      <c r="GA77" s="1471"/>
      <c r="GB77" s="1479"/>
      <c r="GC77" s="1479"/>
      <c r="GD77" s="1479"/>
      <c r="GE77" s="1479"/>
      <c r="GF77" s="1479"/>
      <c r="GG77" s="1479"/>
      <c r="GH77" s="1479"/>
    </row>
    <row r="78" spans="1:190" s="1279" customFormat="1" x14ac:dyDescent="0.25">
      <c r="A78" s="1285"/>
      <c r="B78" s="1289"/>
      <c r="C78" s="1290"/>
      <c r="D78" s="1055"/>
      <c r="E78" s="1291"/>
      <c r="F78" s="1285"/>
      <c r="G78" s="1289"/>
      <c r="H78" s="1055"/>
      <c r="I78" s="1055"/>
      <c r="J78" s="1280"/>
      <c r="EN78" s="1479"/>
      <c r="EO78" s="1479"/>
      <c r="EP78" s="1479"/>
      <c r="EQ78" s="1479"/>
      <c r="ER78" s="1479"/>
      <c r="ES78" s="1479"/>
      <c r="ET78" s="1479"/>
      <c r="EU78" s="1479"/>
      <c r="EV78" s="1479"/>
      <c r="EW78" s="1479"/>
      <c r="EX78" s="1480"/>
      <c r="EY78" s="1480"/>
      <c r="EZ78" s="1470"/>
      <c r="FA78" s="1470"/>
      <c r="FB78" s="1055"/>
      <c r="FC78" s="1055"/>
      <c r="FD78" s="1104">
        <v>42213</v>
      </c>
      <c r="FE78" s="1055">
        <v>1</v>
      </c>
      <c r="FF78" s="1055">
        <v>65.082999999999998</v>
      </c>
      <c r="FG78" s="1055"/>
      <c r="FH78" s="1055"/>
      <c r="FI78" s="1055"/>
      <c r="FJ78" s="1055"/>
      <c r="FK78" s="1055"/>
      <c r="FL78" s="1055"/>
      <c r="FM78" s="1055"/>
      <c r="FN78" s="1055"/>
      <c r="FO78" s="1055"/>
      <c r="FP78" s="1055"/>
      <c r="FQ78" s="1055"/>
      <c r="FR78" s="1055"/>
      <c r="FS78" s="1055"/>
      <c r="FT78" s="1055"/>
      <c r="FU78" s="1055"/>
      <c r="FV78" s="1055"/>
      <c r="FW78" s="1055"/>
      <c r="FX78" s="1055"/>
      <c r="FY78" s="1471"/>
      <c r="FZ78" s="1471"/>
      <c r="GA78" s="1471"/>
      <c r="GB78" s="1479"/>
      <c r="GC78" s="1479"/>
      <c r="GD78" s="1479"/>
      <c r="GE78" s="1479"/>
      <c r="GF78" s="1479"/>
      <c r="GG78" s="1479"/>
      <c r="GH78" s="1479"/>
    </row>
    <row r="79" spans="1:190" s="1279" customFormat="1" x14ac:dyDescent="0.25">
      <c r="A79" s="1285"/>
      <c r="B79" s="1289"/>
      <c r="C79" s="1290"/>
      <c r="D79" s="1055"/>
      <c r="E79" s="1290"/>
      <c r="F79" s="1285"/>
      <c r="G79" s="1289"/>
      <c r="H79" s="1290"/>
      <c r="I79" s="1055"/>
      <c r="EN79" s="1479"/>
      <c r="EO79" s="1479"/>
      <c r="EP79" s="1479"/>
      <c r="EQ79" s="1479"/>
      <c r="ER79" s="1479"/>
      <c r="ES79" s="1479"/>
      <c r="ET79" s="1479"/>
      <c r="EU79" s="1479"/>
      <c r="EV79" s="1479"/>
      <c r="EW79" s="1479"/>
      <c r="EX79" s="1480"/>
      <c r="EY79" s="1480"/>
      <c r="EZ79" s="1470"/>
      <c r="FA79" s="1470"/>
      <c r="FB79" s="1055"/>
      <c r="FC79" s="1055"/>
      <c r="FD79" s="1104">
        <v>42214</v>
      </c>
      <c r="FE79" s="1055">
        <v>1</v>
      </c>
      <c r="FF79" s="1055">
        <v>66.624799999999993</v>
      </c>
      <c r="FG79" s="1055"/>
      <c r="FH79" s="1055"/>
      <c r="FI79" s="1055"/>
      <c r="FJ79" s="1055"/>
      <c r="FK79" s="1055"/>
      <c r="FL79" s="1055"/>
      <c r="FM79" s="1055"/>
      <c r="FN79" s="1055"/>
      <c r="FO79" s="1055"/>
      <c r="FP79" s="1055"/>
      <c r="FQ79" s="1055"/>
      <c r="FR79" s="1055"/>
      <c r="FS79" s="1055"/>
      <c r="FT79" s="1055"/>
      <c r="FU79" s="1055"/>
      <c r="FV79" s="1055"/>
      <c r="FW79" s="1055"/>
      <c r="FX79" s="1055"/>
      <c r="FY79" s="1471"/>
      <c r="FZ79" s="1471"/>
      <c r="GA79" s="1471"/>
      <c r="GB79" s="1479"/>
      <c r="GC79" s="1479"/>
      <c r="GD79" s="1479"/>
      <c r="GE79" s="1479"/>
      <c r="GF79" s="1479"/>
      <c r="GG79" s="1479"/>
      <c r="GH79" s="1479"/>
    </row>
    <row r="80" spans="1:190" s="1279" customFormat="1" x14ac:dyDescent="0.25">
      <c r="A80" s="1292"/>
      <c r="B80" s="1289"/>
      <c r="C80" s="1290"/>
      <c r="D80" s="1055"/>
      <c r="E80" s="1055"/>
      <c r="F80" s="1285"/>
      <c r="G80" s="1289"/>
      <c r="H80" s="1290"/>
      <c r="I80" s="1055"/>
      <c r="EN80" s="1479"/>
      <c r="EO80" s="1479"/>
      <c r="EP80" s="1479"/>
      <c r="EQ80" s="1479"/>
      <c r="ER80" s="1479"/>
      <c r="ES80" s="1479"/>
      <c r="ET80" s="1479"/>
      <c r="EU80" s="1479"/>
      <c r="EV80" s="1479"/>
      <c r="EW80" s="1479"/>
      <c r="EX80" s="1480"/>
      <c r="EY80" s="1480"/>
      <c r="EZ80" s="1470"/>
      <c r="FA80" s="1470"/>
      <c r="FB80" s="1055"/>
      <c r="FC80" s="1055"/>
      <c r="FD80" s="1104">
        <v>42215</v>
      </c>
      <c r="FE80" s="1055">
        <v>1</v>
      </c>
      <c r="FF80" s="1055">
        <v>65.988200000000006</v>
      </c>
      <c r="FG80" s="1055"/>
      <c r="FH80" s="1055"/>
      <c r="FI80" s="1055"/>
      <c r="FJ80" s="1055"/>
      <c r="FK80" s="1055"/>
      <c r="FL80" s="1055"/>
      <c r="FM80" s="1055"/>
      <c r="FN80" s="1055"/>
      <c r="FO80" s="1055"/>
      <c r="FP80" s="1055"/>
      <c r="FQ80" s="1055"/>
      <c r="FR80" s="1055"/>
      <c r="FS80" s="1055"/>
      <c r="FT80" s="1055"/>
      <c r="FU80" s="1055"/>
      <c r="FV80" s="1055"/>
      <c r="FW80" s="1055"/>
      <c r="FX80" s="1055"/>
      <c r="FY80" s="1471"/>
      <c r="FZ80" s="1471"/>
      <c r="GA80" s="1471"/>
      <c r="GB80" s="1479"/>
      <c r="GC80" s="1479"/>
      <c r="GD80" s="1479"/>
      <c r="GE80" s="1479"/>
      <c r="GF80" s="1479"/>
      <c r="GG80" s="1479"/>
      <c r="GH80" s="1479"/>
    </row>
    <row r="81" spans="1:190" s="1279" customFormat="1" x14ac:dyDescent="0.25">
      <c r="A81" s="1285"/>
      <c r="B81" s="1289"/>
      <c r="C81" s="1290"/>
      <c r="D81" s="1055"/>
      <c r="E81" s="1055"/>
      <c r="F81" s="1274"/>
      <c r="G81" s="1289"/>
      <c r="H81" s="1289"/>
      <c r="I81" s="1055"/>
      <c r="EN81" s="1479"/>
      <c r="EO81" s="1479"/>
      <c r="EP81" s="1479"/>
      <c r="EQ81" s="1479"/>
      <c r="ER81" s="1479"/>
      <c r="ES81" s="1479"/>
      <c r="ET81" s="1479"/>
      <c r="EU81" s="1479"/>
      <c r="EV81" s="1479"/>
      <c r="EW81" s="1479"/>
      <c r="EX81" s="1480"/>
      <c r="EY81" s="1480"/>
      <c r="EZ81" s="1470"/>
      <c r="FA81" s="1470"/>
      <c r="FB81" s="1055"/>
      <c r="FC81" s="1055"/>
      <c r="FD81" s="1104">
        <v>42216</v>
      </c>
      <c r="FE81" s="1055">
        <v>1</v>
      </c>
      <c r="FF81" s="1055">
        <v>64.647800000000004</v>
      </c>
      <c r="FG81" s="1055"/>
      <c r="FH81" s="1055"/>
      <c r="FI81" s="1055"/>
      <c r="FJ81" s="1055"/>
      <c r="FK81" s="1055"/>
      <c r="FL81" s="1055"/>
      <c r="FM81" s="1055"/>
      <c r="FN81" s="1055"/>
      <c r="FO81" s="1055"/>
      <c r="FP81" s="1055"/>
      <c r="FQ81" s="1055"/>
      <c r="FR81" s="1055"/>
      <c r="FS81" s="1055"/>
      <c r="FT81" s="1055"/>
      <c r="FU81" s="1055"/>
      <c r="FV81" s="1055"/>
      <c r="FW81" s="1055"/>
      <c r="FX81" s="1055"/>
      <c r="FY81" s="1471"/>
      <c r="FZ81" s="1471"/>
      <c r="GA81" s="1471"/>
      <c r="GB81" s="1479"/>
      <c r="GC81" s="1479"/>
      <c r="GD81" s="1479"/>
      <c r="GE81" s="1479"/>
      <c r="GF81" s="1479"/>
      <c r="GG81" s="1479"/>
      <c r="GH81" s="1479"/>
    </row>
    <row r="82" spans="1:190" s="1279" customFormat="1" x14ac:dyDescent="0.25">
      <c r="A82" s="1285"/>
      <c r="B82" s="1289"/>
      <c r="C82" s="1290"/>
      <c r="D82" s="1055"/>
      <c r="E82" s="1055"/>
      <c r="F82" s="1285"/>
      <c r="G82" s="1289"/>
      <c r="H82" s="1055"/>
      <c r="I82" s="1055"/>
      <c r="EN82" s="1479"/>
      <c r="EO82" s="1479"/>
      <c r="EP82" s="1479"/>
      <c r="EQ82" s="1479"/>
      <c r="ER82" s="1479"/>
      <c r="ES82" s="1479"/>
      <c r="ET82" s="1479"/>
      <c r="EU82" s="1479"/>
      <c r="EV82" s="1479"/>
      <c r="EW82" s="1479"/>
      <c r="EX82" s="1480"/>
      <c r="EY82" s="1480"/>
      <c r="EZ82" s="1470"/>
      <c r="FA82" s="1470"/>
      <c r="FB82" s="1055"/>
      <c r="FC82" s="1055"/>
      <c r="FD82" s="1104">
        <v>42217</v>
      </c>
      <c r="FE82" s="1055">
        <v>1</v>
      </c>
      <c r="FF82" s="1055">
        <v>66.000200000000007</v>
      </c>
      <c r="FG82" s="1055"/>
      <c r="FH82" s="1055"/>
      <c r="FI82" s="1055"/>
      <c r="FJ82" s="1055"/>
      <c r="FK82" s="1055"/>
      <c r="FL82" s="1055"/>
      <c r="FM82" s="1055"/>
      <c r="FN82" s="1055"/>
      <c r="FO82" s="1055"/>
      <c r="FP82" s="1055"/>
      <c r="FQ82" s="1055"/>
      <c r="FR82" s="1055"/>
      <c r="FS82" s="1055"/>
      <c r="FT82" s="1055"/>
      <c r="FU82" s="1055"/>
      <c r="FV82" s="1055"/>
      <c r="FW82" s="1055"/>
      <c r="FX82" s="1055"/>
      <c r="FY82" s="1471"/>
      <c r="FZ82" s="1471"/>
      <c r="GA82" s="1471"/>
      <c r="GB82" s="1479"/>
      <c r="GC82" s="1479"/>
      <c r="GD82" s="1479"/>
      <c r="GE82" s="1479"/>
      <c r="GF82" s="1479"/>
      <c r="GG82" s="1479"/>
      <c r="GH82" s="1479"/>
    </row>
    <row r="83" spans="1:190" s="1279" customFormat="1" x14ac:dyDescent="0.25">
      <c r="A83" s="1274"/>
      <c r="B83" s="1289"/>
      <c r="C83" s="1290"/>
      <c r="D83" s="1055"/>
      <c r="E83" s="1055"/>
      <c r="F83" s="1274"/>
      <c r="G83" s="1289"/>
      <c r="H83" s="1055"/>
      <c r="I83" s="1055"/>
      <c r="EN83" s="1479"/>
      <c r="EO83" s="1479"/>
      <c r="EP83" s="1479"/>
      <c r="EQ83" s="1479"/>
      <c r="ER83" s="1479"/>
      <c r="ES83" s="1479"/>
      <c r="ET83" s="1479"/>
      <c r="EU83" s="1479"/>
      <c r="EV83" s="1479"/>
      <c r="EW83" s="1479"/>
      <c r="EX83" s="1480"/>
      <c r="EY83" s="1480"/>
      <c r="EZ83" s="1470"/>
      <c r="FA83" s="1470"/>
      <c r="FB83" s="1055"/>
      <c r="FC83" s="1055"/>
      <c r="FD83" s="1104">
        <v>42220</v>
      </c>
      <c r="FE83" s="1055">
        <v>1</v>
      </c>
      <c r="FF83" s="1055">
        <v>68.576999999999998</v>
      </c>
      <c r="FG83" s="1055"/>
      <c r="FH83" s="1055"/>
      <c r="FI83" s="1055"/>
      <c r="FJ83" s="1055"/>
      <c r="FK83" s="1055"/>
      <c r="FL83" s="1055"/>
      <c r="FM83" s="1055"/>
      <c r="FN83" s="1055"/>
      <c r="FO83" s="1055"/>
      <c r="FP83" s="1055"/>
      <c r="FQ83" s="1055"/>
      <c r="FR83" s="1055"/>
      <c r="FS83" s="1055"/>
      <c r="FT83" s="1055"/>
      <c r="FU83" s="1055"/>
      <c r="FV83" s="1055"/>
      <c r="FW83" s="1055"/>
      <c r="FX83" s="1055"/>
      <c r="FY83" s="1471"/>
      <c r="FZ83" s="1471"/>
      <c r="GA83" s="1471"/>
      <c r="GB83" s="1479"/>
      <c r="GC83" s="1479"/>
      <c r="GD83" s="1479"/>
      <c r="GE83" s="1479"/>
      <c r="GF83" s="1479"/>
      <c r="GG83" s="1479"/>
      <c r="GH83" s="1479"/>
    </row>
    <row r="84" spans="1:190" s="1279" customFormat="1" x14ac:dyDescent="0.25">
      <c r="A84" s="1285"/>
      <c r="B84" s="1289"/>
      <c r="C84" s="1290"/>
      <c r="D84" s="1055"/>
      <c r="E84" s="1055"/>
      <c r="F84" s="1274"/>
      <c r="G84" s="1289"/>
      <c r="H84" s="1055"/>
      <c r="I84" s="1055"/>
      <c r="EN84" s="1479"/>
      <c r="EO84" s="1479"/>
      <c r="EP84" s="1479"/>
      <c r="EQ84" s="1479"/>
      <c r="ER84" s="1479"/>
      <c r="ES84" s="1479"/>
      <c r="ET84" s="1479"/>
      <c r="EU84" s="1479"/>
      <c r="EV84" s="1479"/>
      <c r="EW84" s="1479"/>
      <c r="EX84" s="1480"/>
      <c r="EY84" s="1480"/>
      <c r="EZ84" s="1470"/>
      <c r="FA84" s="1470"/>
      <c r="FB84" s="1055"/>
      <c r="FC84" s="1055"/>
      <c r="FD84" s="1104">
        <v>42221</v>
      </c>
      <c r="FE84" s="1055">
        <v>1</v>
      </c>
      <c r="FF84" s="1055">
        <v>68.996099999999998</v>
      </c>
      <c r="FG84" s="1055"/>
      <c r="FH84" s="1055"/>
      <c r="FI84" s="1055"/>
      <c r="FJ84" s="1055"/>
      <c r="FK84" s="1055"/>
      <c r="FL84" s="1055"/>
      <c r="FM84" s="1055"/>
      <c r="FN84" s="1055"/>
      <c r="FO84" s="1055"/>
      <c r="FP84" s="1055"/>
      <c r="FQ84" s="1055"/>
      <c r="FR84" s="1055"/>
      <c r="FS84" s="1055"/>
      <c r="FT84" s="1055"/>
      <c r="FU84" s="1055"/>
      <c r="FV84" s="1055"/>
      <c r="FW84" s="1055"/>
      <c r="FX84" s="1055"/>
      <c r="FY84" s="1471"/>
      <c r="FZ84" s="1471"/>
      <c r="GA84" s="1471"/>
      <c r="GB84" s="1479"/>
      <c r="GC84" s="1479"/>
      <c r="GD84" s="1479"/>
      <c r="GE84" s="1479"/>
      <c r="GF84" s="1479"/>
      <c r="GG84" s="1479"/>
      <c r="GH84" s="1479"/>
    </row>
    <row r="85" spans="1:190" s="1279" customFormat="1" x14ac:dyDescent="0.25">
      <c r="A85" s="1285"/>
      <c r="B85" s="1289"/>
      <c r="C85" s="1055"/>
      <c r="D85" s="1055"/>
      <c r="E85" s="1055"/>
      <c r="F85" s="1274"/>
      <c r="G85" s="1289"/>
      <c r="H85" s="1055"/>
      <c r="I85" s="1055"/>
      <c r="EN85" s="1479"/>
      <c r="EO85" s="1479"/>
      <c r="EP85" s="1479"/>
      <c r="EQ85" s="1479"/>
      <c r="ER85" s="1479"/>
      <c r="ES85" s="1479"/>
      <c r="ET85" s="1479"/>
      <c r="EU85" s="1479"/>
      <c r="EV85" s="1479"/>
      <c r="EW85" s="1479"/>
      <c r="EX85" s="1480"/>
      <c r="EY85" s="1480"/>
      <c r="EZ85" s="1470"/>
      <c r="FA85" s="1470"/>
      <c r="FB85" s="1055"/>
      <c r="FC85" s="1055"/>
      <c r="FD85" s="1104">
        <v>42222</v>
      </c>
      <c r="FE85" s="1055">
        <v>1</v>
      </c>
      <c r="FF85" s="1055">
        <v>68.143500000000003</v>
      </c>
      <c r="FG85" s="1055"/>
      <c r="FH85" s="1055"/>
      <c r="FI85" s="1055"/>
      <c r="FJ85" s="1055"/>
      <c r="FK85" s="1055"/>
      <c r="FL85" s="1055"/>
      <c r="FM85" s="1055"/>
      <c r="FN85" s="1055"/>
      <c r="FO85" s="1055"/>
      <c r="FP85" s="1055"/>
      <c r="FQ85" s="1055"/>
      <c r="FR85" s="1055"/>
      <c r="FS85" s="1055"/>
      <c r="FT85" s="1055"/>
      <c r="FU85" s="1055"/>
      <c r="FV85" s="1055"/>
      <c r="FW85" s="1055"/>
      <c r="FX85" s="1055"/>
      <c r="FY85" s="1471"/>
      <c r="FZ85" s="1471"/>
      <c r="GA85" s="1471"/>
      <c r="GB85" s="1479"/>
      <c r="GC85" s="1479"/>
      <c r="GD85" s="1479"/>
      <c r="GE85" s="1479"/>
      <c r="GF85" s="1479"/>
      <c r="GG85" s="1479"/>
      <c r="GH85" s="1479"/>
    </row>
    <row r="86" spans="1:190" s="1279" customFormat="1" x14ac:dyDescent="0.25">
      <c r="A86" s="1055"/>
      <c r="B86" s="1055"/>
      <c r="C86" s="1055"/>
      <c r="D86" s="1055"/>
      <c r="E86" s="1055"/>
      <c r="F86" s="1274"/>
      <c r="G86" s="1289"/>
      <c r="H86" s="1055"/>
      <c r="I86" s="1055"/>
      <c r="EN86" s="1479"/>
      <c r="EO86" s="1479"/>
      <c r="EP86" s="1479"/>
      <c r="EQ86" s="1479"/>
      <c r="ER86" s="1479"/>
      <c r="ES86" s="1479"/>
      <c r="ET86" s="1479"/>
      <c r="EU86" s="1479"/>
      <c r="EV86" s="1479"/>
      <c r="EW86" s="1479"/>
      <c r="EX86" s="1480"/>
      <c r="EY86" s="1480"/>
      <c r="EZ86" s="1470"/>
      <c r="FA86" s="1470"/>
      <c r="FB86" s="1055"/>
      <c r="FC86" s="1055"/>
      <c r="FD86" s="1104">
        <v>42223</v>
      </c>
      <c r="FE86" s="1055">
        <v>1</v>
      </c>
      <c r="FF86" s="1055">
        <v>69.631399999999999</v>
      </c>
      <c r="FG86" s="1055"/>
      <c r="FH86" s="1055"/>
      <c r="FI86" s="1055"/>
      <c r="FJ86" s="1055"/>
      <c r="FK86" s="1055"/>
      <c r="FL86" s="1055"/>
      <c r="FM86" s="1055"/>
      <c r="FN86" s="1055"/>
      <c r="FO86" s="1055"/>
      <c r="FP86" s="1055"/>
      <c r="FQ86" s="1055"/>
      <c r="FR86" s="1055"/>
      <c r="FS86" s="1055"/>
      <c r="FT86" s="1055"/>
      <c r="FU86" s="1055"/>
      <c r="FV86" s="1055"/>
      <c r="FW86" s="1055"/>
      <c r="FX86" s="1055"/>
      <c r="FY86" s="1471"/>
      <c r="FZ86" s="1471"/>
      <c r="GA86" s="1471"/>
      <c r="GB86" s="1479"/>
      <c r="GC86" s="1479"/>
      <c r="GD86" s="1479"/>
      <c r="GE86" s="1479"/>
      <c r="GF86" s="1479"/>
      <c r="GG86" s="1479"/>
      <c r="GH86" s="1479"/>
    </row>
    <row r="87" spans="1:190" s="1279" customFormat="1" x14ac:dyDescent="0.25">
      <c r="A87" s="1055"/>
      <c r="B87" s="1055"/>
      <c r="C87" s="1055"/>
      <c r="D87" s="1055"/>
      <c r="E87" s="1055"/>
      <c r="F87" s="1274"/>
      <c r="G87" s="1289"/>
      <c r="H87" s="1055"/>
      <c r="I87" s="1055"/>
      <c r="EN87" s="1479"/>
      <c r="EO87" s="1479"/>
      <c r="EP87" s="1479"/>
      <c r="EQ87" s="1479"/>
      <c r="ER87" s="1479"/>
      <c r="ES87" s="1479"/>
      <c r="ET87" s="1479"/>
      <c r="EU87" s="1479"/>
      <c r="EV87" s="1479"/>
      <c r="EW87" s="1479"/>
      <c r="EX87" s="1480"/>
      <c r="EY87" s="1480"/>
      <c r="EZ87" s="1470"/>
      <c r="FA87" s="1470"/>
      <c r="FB87" s="1055"/>
      <c r="FC87" s="1055"/>
      <c r="FD87" s="1104">
        <v>42224</v>
      </c>
      <c r="FE87" s="1055">
        <v>1</v>
      </c>
      <c r="FF87" s="1055">
        <v>69.808899999999994</v>
      </c>
      <c r="FG87" s="1055"/>
      <c r="FH87" s="1055"/>
      <c r="FI87" s="1055"/>
      <c r="FJ87" s="1055"/>
      <c r="FK87" s="1055"/>
      <c r="FL87" s="1055"/>
      <c r="FM87" s="1055"/>
      <c r="FN87" s="1055"/>
      <c r="FO87" s="1055"/>
      <c r="FP87" s="1055"/>
      <c r="FQ87" s="1055"/>
      <c r="FR87" s="1055"/>
      <c r="FS87" s="1055"/>
      <c r="FT87" s="1055"/>
      <c r="FU87" s="1055"/>
      <c r="FV87" s="1055"/>
      <c r="FW87" s="1055"/>
      <c r="FX87" s="1055"/>
      <c r="FY87" s="1471"/>
      <c r="FZ87" s="1471"/>
      <c r="GA87" s="1471"/>
      <c r="GB87" s="1479"/>
      <c r="GC87" s="1479"/>
      <c r="GD87" s="1479"/>
      <c r="GE87" s="1479"/>
      <c r="GF87" s="1479"/>
      <c r="GG87" s="1479"/>
      <c r="GH87" s="1479"/>
    </row>
    <row r="88" spans="1:190" s="1279" customFormat="1" ht="15" customHeight="1" x14ac:dyDescent="0.25">
      <c r="A88" s="1055"/>
      <c r="B88" s="1055"/>
      <c r="C88" s="1055"/>
      <c r="D88" s="1055"/>
      <c r="E88" s="1055"/>
      <c r="F88" s="1055"/>
      <c r="G88" s="1055"/>
      <c r="H88" s="1055"/>
      <c r="I88" s="1055"/>
      <c r="EN88" s="1479"/>
      <c r="EO88" s="1479"/>
      <c r="EP88" s="1479"/>
      <c r="EQ88" s="1479"/>
      <c r="ER88" s="1479"/>
      <c r="ES88" s="1479"/>
      <c r="ET88" s="1479"/>
      <c r="EU88" s="1479"/>
      <c r="EV88" s="1479"/>
      <c r="EW88" s="1479"/>
      <c r="EX88" s="1480"/>
      <c r="EY88" s="1480"/>
      <c r="EZ88" s="1470"/>
      <c r="FA88" s="1470"/>
      <c r="FB88" s="1055"/>
      <c r="FC88" s="1055"/>
      <c r="FD88" s="1104">
        <v>42227</v>
      </c>
      <c r="FE88" s="1055">
        <v>1</v>
      </c>
      <c r="FF88" s="1055">
        <v>70.754000000000005</v>
      </c>
      <c r="FG88" s="1055"/>
      <c r="FH88" s="1055"/>
      <c r="FI88" s="1055"/>
      <c r="FJ88" s="1055"/>
      <c r="FK88" s="1055"/>
      <c r="FL88" s="1055"/>
      <c r="FM88" s="1055"/>
      <c r="FN88" s="1055"/>
      <c r="FO88" s="1055"/>
      <c r="FP88" s="1055"/>
      <c r="FQ88" s="1055"/>
      <c r="FR88" s="1055"/>
      <c r="FS88" s="1055"/>
      <c r="FT88" s="1055"/>
      <c r="FU88" s="1055"/>
      <c r="FV88" s="1055"/>
      <c r="FW88" s="1055"/>
      <c r="FX88" s="1055"/>
      <c r="FY88" s="1471"/>
      <c r="FZ88" s="1471"/>
      <c r="GA88" s="1471"/>
      <c r="GB88" s="1479"/>
      <c r="GC88" s="1479"/>
      <c r="GD88" s="1479"/>
      <c r="GE88" s="1479"/>
      <c r="GF88" s="1479"/>
      <c r="GG88" s="1479"/>
      <c r="GH88" s="1479"/>
    </row>
    <row r="89" spans="1:190" s="1279" customFormat="1" ht="15" customHeight="1" x14ac:dyDescent="0.25">
      <c r="A89" s="1055"/>
      <c r="B89" s="1055"/>
      <c r="C89" s="1055"/>
      <c r="D89" s="1055"/>
      <c r="E89" s="1055"/>
      <c r="F89" s="1055"/>
      <c r="G89" s="1055"/>
      <c r="H89" s="1055"/>
      <c r="I89" s="1055"/>
      <c r="EN89" s="1479"/>
      <c r="EO89" s="1479"/>
      <c r="EP89" s="1479"/>
      <c r="EQ89" s="1479"/>
      <c r="ER89" s="1479"/>
      <c r="ES89" s="1479"/>
      <c r="ET89" s="1479"/>
      <c r="EU89" s="1479"/>
      <c r="EV89" s="1479"/>
      <c r="EW89" s="1479"/>
      <c r="EX89" s="1480"/>
      <c r="EY89" s="1480"/>
      <c r="EZ89" s="1470"/>
      <c r="FA89" s="1470"/>
      <c r="FB89" s="1055"/>
      <c r="FC89" s="1055"/>
      <c r="FD89" s="1104">
        <v>42228</v>
      </c>
      <c r="FE89" s="1055">
        <v>1</v>
      </c>
      <c r="FF89" s="1055">
        <v>69.676199999999994</v>
      </c>
      <c r="FG89" s="1055"/>
      <c r="FH89" s="1055"/>
      <c r="FI89" s="1055"/>
      <c r="FJ89" s="1055"/>
      <c r="FK89" s="1055"/>
      <c r="FL89" s="1055"/>
      <c r="FM89" s="1055"/>
      <c r="FN89" s="1055"/>
      <c r="FO89" s="1055"/>
      <c r="FP89" s="1055"/>
      <c r="FQ89" s="1055"/>
      <c r="FR89" s="1055"/>
      <c r="FS89" s="1055"/>
      <c r="FT89" s="1055"/>
      <c r="FU89" s="1055"/>
      <c r="FV89" s="1055"/>
      <c r="FW89" s="1055"/>
      <c r="FX89" s="1055"/>
      <c r="FY89" s="1471"/>
      <c r="FZ89" s="1471"/>
      <c r="GA89" s="1471"/>
      <c r="GB89" s="1479"/>
      <c r="GC89" s="1479"/>
      <c r="GD89" s="1479"/>
      <c r="GE89" s="1479"/>
      <c r="GF89" s="1479"/>
      <c r="GG89" s="1479"/>
      <c r="GH89" s="1479"/>
    </row>
    <row r="90" spans="1:190" s="1279" customFormat="1" ht="15" customHeight="1" x14ac:dyDescent="0.25">
      <c r="A90" s="1055"/>
      <c r="B90" s="1055"/>
      <c r="C90" s="1055"/>
      <c r="D90" s="1055"/>
      <c r="E90" s="1055"/>
      <c r="F90" s="1055"/>
      <c r="G90" s="1055"/>
      <c r="H90" s="1055"/>
      <c r="I90" s="1055"/>
      <c r="EN90" s="1479"/>
      <c r="EO90" s="1479"/>
      <c r="EP90" s="1479"/>
      <c r="EQ90" s="1479"/>
      <c r="ER90" s="1479"/>
      <c r="ES90" s="1479"/>
      <c r="ET90" s="1479"/>
      <c r="EU90" s="1479"/>
      <c r="EV90" s="1479"/>
      <c r="EW90" s="1479"/>
      <c r="EX90" s="1480"/>
      <c r="EY90" s="1480"/>
      <c r="EZ90" s="1470"/>
      <c r="FA90" s="1470"/>
      <c r="FB90" s="1055"/>
      <c r="FC90" s="1055"/>
      <c r="FD90" s="1104">
        <v>42229</v>
      </c>
      <c r="FE90" s="1055">
        <v>1</v>
      </c>
      <c r="FF90" s="1055">
        <v>72.207800000000006</v>
      </c>
      <c r="FG90" s="1055"/>
      <c r="FH90" s="1055"/>
      <c r="FI90" s="1055"/>
      <c r="FJ90" s="1055"/>
      <c r="FK90" s="1055"/>
      <c r="FL90" s="1055"/>
      <c r="FM90" s="1055"/>
      <c r="FN90" s="1055"/>
      <c r="FO90" s="1055"/>
      <c r="FP90" s="1055"/>
      <c r="FQ90" s="1055"/>
      <c r="FR90" s="1055"/>
      <c r="FS90" s="1055"/>
      <c r="FT90" s="1055"/>
      <c r="FU90" s="1055"/>
      <c r="FV90" s="1055"/>
      <c r="FW90" s="1055"/>
      <c r="FX90" s="1055"/>
      <c r="FY90" s="1471"/>
      <c r="FZ90" s="1471"/>
      <c r="GA90" s="1471"/>
      <c r="GB90" s="1479"/>
      <c r="GC90" s="1479"/>
      <c r="GD90" s="1479"/>
      <c r="GE90" s="1479"/>
      <c r="GF90" s="1479"/>
      <c r="GG90" s="1479"/>
      <c r="GH90" s="1479"/>
    </row>
    <row r="91" spans="1:190" s="1279" customFormat="1" ht="15" customHeight="1" x14ac:dyDescent="0.25">
      <c r="EN91" s="1479"/>
      <c r="EO91" s="1479"/>
      <c r="EP91" s="1479"/>
      <c r="EQ91" s="1479"/>
      <c r="ER91" s="1479"/>
      <c r="ES91" s="1479"/>
      <c r="ET91" s="1479"/>
      <c r="EU91" s="1479"/>
      <c r="EV91" s="1479"/>
      <c r="EW91" s="1479"/>
      <c r="EX91" s="1480"/>
      <c r="EY91" s="1480"/>
      <c r="EZ91" s="1470"/>
      <c r="FA91" s="1470"/>
      <c r="FB91" s="1055"/>
      <c r="FC91" s="1055"/>
      <c r="FD91" s="1104">
        <v>42230</v>
      </c>
      <c r="FE91" s="1055">
        <v>1</v>
      </c>
      <c r="FF91" s="1055">
        <v>71.147499999999994</v>
      </c>
      <c r="FG91" s="1055"/>
      <c r="FH91" s="1055"/>
      <c r="FI91" s="1055"/>
      <c r="FJ91" s="1055"/>
      <c r="FK91" s="1055"/>
      <c r="FL91" s="1055"/>
      <c r="FM91" s="1055"/>
      <c r="FN91" s="1055"/>
      <c r="FO91" s="1055"/>
      <c r="FP91" s="1055"/>
      <c r="FQ91" s="1055"/>
      <c r="FR91" s="1055"/>
      <c r="FS91" s="1055"/>
      <c r="FT91" s="1055"/>
      <c r="FU91" s="1055"/>
      <c r="FV91" s="1055"/>
      <c r="FW91" s="1055"/>
      <c r="FX91" s="1055"/>
      <c r="FY91" s="1471"/>
      <c r="FZ91" s="1471"/>
      <c r="GA91" s="1471"/>
      <c r="GB91" s="1479"/>
      <c r="GC91" s="1479"/>
      <c r="GD91" s="1479"/>
      <c r="GE91" s="1479"/>
      <c r="GF91" s="1479"/>
      <c r="GG91" s="1479"/>
      <c r="GH91" s="1479"/>
    </row>
    <row r="92" spans="1:190" s="1279" customFormat="1" ht="15" customHeight="1" x14ac:dyDescent="0.25">
      <c r="EN92" s="1479"/>
      <c r="EO92" s="1479"/>
      <c r="EP92" s="1479"/>
      <c r="EQ92" s="1479"/>
      <c r="ER92" s="1479"/>
      <c r="ES92" s="1479"/>
      <c r="ET92" s="1479"/>
      <c r="EU92" s="1479"/>
      <c r="EV92" s="1479"/>
      <c r="EW92" s="1479"/>
      <c r="EX92" s="1480"/>
      <c r="EY92" s="1480"/>
      <c r="EZ92" s="1470"/>
      <c r="FA92" s="1470"/>
      <c r="FB92" s="1055"/>
      <c r="FC92" s="1055"/>
      <c r="FD92" s="1104">
        <v>42231</v>
      </c>
      <c r="FE92" s="1055">
        <v>1</v>
      </c>
      <c r="FF92" s="1055">
        <v>72.364999999999995</v>
      </c>
      <c r="FG92" s="1055"/>
      <c r="FH92" s="1055"/>
      <c r="FI92" s="1055"/>
      <c r="FJ92" s="1055"/>
      <c r="FK92" s="1055"/>
      <c r="FL92" s="1055"/>
      <c r="FM92" s="1055"/>
      <c r="FN92" s="1055"/>
      <c r="FO92" s="1055"/>
      <c r="FP92" s="1055"/>
      <c r="FQ92" s="1055"/>
      <c r="FR92" s="1055"/>
      <c r="FS92" s="1055"/>
      <c r="FT92" s="1055"/>
      <c r="FU92" s="1055"/>
      <c r="FV92" s="1055"/>
      <c r="FW92" s="1055"/>
      <c r="FX92" s="1055"/>
      <c r="FY92" s="1471"/>
      <c r="FZ92" s="1471"/>
      <c r="GA92" s="1471"/>
      <c r="GB92" s="1479"/>
      <c r="GC92" s="1479"/>
      <c r="GD92" s="1479"/>
      <c r="GE92" s="1479"/>
      <c r="GF92" s="1479"/>
      <c r="GG92" s="1479"/>
      <c r="GH92" s="1479"/>
    </row>
    <row r="93" spans="1:190" s="1279" customFormat="1" ht="15" customHeight="1" x14ac:dyDescent="0.25">
      <c r="EN93" s="1479"/>
      <c r="EO93" s="1479"/>
      <c r="EP93" s="1479"/>
      <c r="EQ93" s="1479"/>
      <c r="ER93" s="1479"/>
      <c r="ES93" s="1479"/>
      <c r="ET93" s="1479"/>
      <c r="EU93" s="1479"/>
      <c r="EV93" s="1479"/>
      <c r="EW93" s="1479"/>
      <c r="EX93" s="1480"/>
      <c r="EY93" s="1480"/>
      <c r="EZ93" s="1470"/>
      <c r="FA93" s="1470"/>
      <c r="FB93" s="1055"/>
      <c r="FC93" s="1055"/>
      <c r="FD93" s="1104">
        <v>42234</v>
      </c>
      <c r="FE93" s="1055">
        <v>1</v>
      </c>
      <c r="FF93" s="1055">
        <v>72.571200000000005</v>
      </c>
      <c r="FG93" s="1055"/>
      <c r="FH93" s="1055"/>
      <c r="FI93" s="1055"/>
      <c r="FJ93" s="1055"/>
      <c r="FK93" s="1055"/>
      <c r="FL93" s="1055"/>
      <c r="FM93" s="1055"/>
      <c r="FN93" s="1055"/>
      <c r="FO93" s="1055"/>
      <c r="FP93" s="1055"/>
      <c r="FQ93" s="1055"/>
      <c r="FR93" s="1055"/>
      <c r="FS93" s="1055"/>
      <c r="FT93" s="1055"/>
      <c r="FU93" s="1055"/>
      <c r="FV93" s="1055"/>
      <c r="FW93" s="1055"/>
      <c r="FX93" s="1055"/>
      <c r="FY93" s="1471"/>
      <c r="FZ93" s="1471"/>
      <c r="GA93" s="1471"/>
      <c r="GB93" s="1479"/>
      <c r="GC93" s="1479"/>
      <c r="GD93" s="1479"/>
      <c r="GE93" s="1479"/>
      <c r="GF93" s="1479"/>
      <c r="GG93" s="1479"/>
      <c r="GH93" s="1479"/>
    </row>
    <row r="94" spans="1:190" s="1279" customFormat="1" ht="15" customHeight="1" x14ac:dyDescent="0.25">
      <c r="EN94" s="1479"/>
      <c r="EO94" s="1479"/>
      <c r="EP94" s="1479"/>
      <c r="EQ94" s="1479"/>
      <c r="ER94" s="1479"/>
      <c r="ES94" s="1479"/>
      <c r="ET94" s="1479"/>
      <c r="EU94" s="1479"/>
      <c r="EV94" s="1479"/>
      <c r="EW94" s="1479"/>
      <c r="EX94" s="1480"/>
      <c r="EY94" s="1480"/>
      <c r="EZ94" s="1470"/>
      <c r="FA94" s="1470"/>
      <c r="FB94" s="1055"/>
      <c r="FC94" s="1055"/>
      <c r="FD94" s="1104">
        <v>42235</v>
      </c>
      <c r="FE94" s="1055">
        <v>1</v>
      </c>
      <c r="FF94" s="1055">
        <v>72.918700000000001</v>
      </c>
      <c r="FG94" s="1055"/>
      <c r="FH94" s="1055"/>
      <c r="FI94" s="1055"/>
      <c r="FJ94" s="1055"/>
      <c r="FK94" s="1055"/>
      <c r="FL94" s="1055"/>
      <c r="FM94" s="1055"/>
      <c r="FN94" s="1055"/>
      <c r="FO94" s="1055"/>
      <c r="FP94" s="1055"/>
      <c r="FQ94" s="1055"/>
      <c r="FR94" s="1055"/>
      <c r="FS94" s="1055"/>
      <c r="FT94" s="1055"/>
      <c r="FU94" s="1055"/>
      <c r="FV94" s="1055"/>
      <c r="FW94" s="1055"/>
      <c r="FX94" s="1055"/>
      <c r="FY94" s="1471"/>
      <c r="FZ94" s="1471"/>
      <c r="GA94" s="1471"/>
      <c r="GB94" s="1479"/>
      <c r="GC94" s="1479"/>
      <c r="GD94" s="1479"/>
      <c r="GE94" s="1479"/>
      <c r="GF94" s="1479"/>
      <c r="GG94" s="1479"/>
      <c r="GH94" s="1479"/>
    </row>
    <row r="95" spans="1:190" s="1279" customFormat="1" ht="15" customHeight="1" x14ac:dyDescent="0.25">
      <c r="EN95" s="1479"/>
      <c r="EO95" s="1479"/>
      <c r="EP95" s="1479"/>
      <c r="EQ95" s="1479"/>
      <c r="ER95" s="1479"/>
      <c r="ES95" s="1479"/>
      <c r="ET95" s="1479"/>
      <c r="EU95" s="1479"/>
      <c r="EV95" s="1479"/>
      <c r="EW95" s="1479"/>
      <c r="EX95" s="1480"/>
      <c r="EY95" s="1480"/>
      <c r="EZ95" s="1470"/>
      <c r="FA95" s="1470"/>
      <c r="FB95" s="1055"/>
      <c r="FC95" s="1055"/>
      <c r="FD95" s="1104">
        <v>42236</v>
      </c>
      <c r="FE95" s="1055">
        <v>1</v>
      </c>
      <c r="FF95" s="1055">
        <v>72.708500000000001</v>
      </c>
      <c r="FG95" s="1055"/>
      <c r="FH95" s="1055"/>
      <c r="FI95" s="1055"/>
      <c r="FJ95" s="1055"/>
      <c r="FK95" s="1055"/>
      <c r="FL95" s="1055"/>
      <c r="FM95" s="1055"/>
      <c r="FN95" s="1055"/>
      <c r="FO95" s="1055"/>
      <c r="FP95" s="1055"/>
      <c r="FQ95" s="1055"/>
      <c r="FR95" s="1055"/>
      <c r="FS95" s="1055"/>
      <c r="FT95" s="1055"/>
      <c r="FU95" s="1055"/>
      <c r="FV95" s="1055"/>
      <c r="FW95" s="1055"/>
      <c r="FX95" s="1055"/>
      <c r="FY95" s="1471"/>
      <c r="FZ95" s="1471"/>
      <c r="GA95" s="1471"/>
      <c r="GB95" s="1479"/>
      <c r="GC95" s="1479"/>
      <c r="GD95" s="1479"/>
      <c r="GE95" s="1479"/>
      <c r="GF95" s="1479"/>
      <c r="GG95" s="1479"/>
      <c r="GH95" s="1479"/>
    </row>
    <row r="96" spans="1:190" s="1279" customFormat="1" ht="15" customHeight="1" x14ac:dyDescent="0.25">
      <c r="EN96" s="1479"/>
      <c r="EO96" s="1479"/>
      <c r="EP96" s="1479"/>
      <c r="EQ96" s="1479"/>
      <c r="ER96" s="1479"/>
      <c r="ES96" s="1479"/>
      <c r="ET96" s="1479"/>
      <c r="EU96" s="1479"/>
      <c r="EV96" s="1479"/>
      <c r="EW96" s="1479"/>
      <c r="EX96" s="1480"/>
      <c r="EY96" s="1480"/>
      <c r="EZ96" s="1470"/>
      <c r="FA96" s="1470"/>
      <c r="FB96" s="1055"/>
      <c r="FC96" s="1055"/>
      <c r="FD96" s="1104">
        <v>42237</v>
      </c>
      <c r="FE96" s="1055">
        <v>1</v>
      </c>
      <c r="FF96" s="1055">
        <v>74.473799999999997</v>
      </c>
      <c r="FG96" s="1055"/>
      <c r="FH96" s="1055"/>
      <c r="FI96" s="1055"/>
      <c r="FJ96" s="1055"/>
      <c r="FK96" s="1055"/>
      <c r="FL96" s="1055"/>
      <c r="FM96" s="1055"/>
      <c r="FN96" s="1055"/>
      <c r="FO96" s="1055"/>
      <c r="FP96" s="1055"/>
      <c r="FQ96" s="1055"/>
      <c r="FR96" s="1055"/>
      <c r="FS96" s="1055"/>
      <c r="FT96" s="1055"/>
      <c r="FU96" s="1055"/>
      <c r="FV96" s="1055"/>
      <c r="FW96" s="1055"/>
      <c r="FX96" s="1055"/>
      <c r="FY96" s="1471"/>
      <c r="FZ96" s="1471"/>
      <c r="GA96" s="1471"/>
      <c r="GB96" s="1479"/>
      <c r="GC96" s="1479"/>
      <c r="GD96" s="1479"/>
      <c r="GE96" s="1479"/>
      <c r="GF96" s="1479"/>
      <c r="GG96" s="1479"/>
      <c r="GH96" s="1479"/>
    </row>
    <row r="97" spans="144:190" s="1279" customFormat="1" ht="15" customHeight="1" x14ac:dyDescent="0.25">
      <c r="EN97" s="1479"/>
      <c r="EO97" s="1479"/>
      <c r="EP97" s="1479"/>
      <c r="EQ97" s="1479"/>
      <c r="ER97" s="1479"/>
      <c r="ES97" s="1479"/>
      <c r="ET97" s="1479"/>
      <c r="EU97" s="1479"/>
      <c r="EV97" s="1479"/>
      <c r="EW97" s="1479"/>
      <c r="EX97" s="1480"/>
      <c r="EY97" s="1480"/>
      <c r="EZ97" s="1470"/>
      <c r="FA97" s="1470"/>
      <c r="FB97" s="1055"/>
      <c r="FC97" s="1055"/>
      <c r="FD97" s="1104">
        <v>42238</v>
      </c>
      <c r="FE97" s="1055">
        <v>1</v>
      </c>
      <c r="FF97" s="1055">
        <v>76.670900000000003</v>
      </c>
      <c r="FG97" s="1055"/>
      <c r="FH97" s="1055"/>
      <c r="FI97" s="1055"/>
      <c r="FJ97" s="1055"/>
      <c r="FK97" s="1055"/>
      <c r="FL97" s="1055"/>
      <c r="FM97" s="1055"/>
      <c r="FN97" s="1055"/>
      <c r="FO97" s="1055"/>
      <c r="FP97" s="1055"/>
      <c r="FQ97" s="1055"/>
      <c r="FR97" s="1055"/>
      <c r="FS97" s="1055"/>
      <c r="FT97" s="1055"/>
      <c r="FU97" s="1055"/>
      <c r="FV97" s="1055"/>
      <c r="FW97" s="1055"/>
      <c r="FX97" s="1055"/>
      <c r="FY97" s="1471"/>
      <c r="FZ97" s="1471"/>
      <c r="GA97" s="1471"/>
      <c r="GB97" s="1479"/>
      <c r="GC97" s="1479"/>
      <c r="GD97" s="1479"/>
      <c r="GE97" s="1479"/>
      <c r="GF97" s="1479"/>
      <c r="GG97" s="1479"/>
      <c r="GH97" s="1479"/>
    </row>
    <row r="98" spans="144:190" s="1279" customFormat="1" ht="15" customHeight="1" x14ac:dyDescent="0.25">
      <c r="EN98" s="1479"/>
      <c r="EO98" s="1479"/>
      <c r="EP98" s="1479"/>
      <c r="EQ98" s="1479"/>
      <c r="ER98" s="1479"/>
      <c r="ES98" s="1479"/>
      <c r="ET98" s="1479"/>
      <c r="EU98" s="1479"/>
      <c r="EV98" s="1479"/>
      <c r="EW98" s="1479"/>
      <c r="EX98" s="1480"/>
      <c r="EY98" s="1480"/>
      <c r="EZ98" s="1470"/>
      <c r="FA98" s="1470"/>
      <c r="FB98" s="1055"/>
      <c r="FC98" s="1055"/>
      <c r="FD98" s="1104">
        <v>42241</v>
      </c>
      <c r="FE98" s="1055">
        <v>1</v>
      </c>
      <c r="FF98" s="1055">
        <v>81.153300000000002</v>
      </c>
      <c r="FG98" s="1055"/>
      <c r="FH98" s="1055"/>
      <c r="FI98" s="1055"/>
      <c r="FJ98" s="1055"/>
      <c r="FK98" s="1055"/>
      <c r="FL98" s="1055"/>
      <c r="FM98" s="1055"/>
      <c r="FN98" s="1055"/>
      <c r="FO98" s="1055"/>
      <c r="FP98" s="1055"/>
      <c r="FQ98" s="1055"/>
      <c r="FR98" s="1055"/>
      <c r="FS98" s="1055"/>
      <c r="FT98" s="1055"/>
      <c r="FU98" s="1055"/>
      <c r="FV98" s="1055"/>
      <c r="FW98" s="1055"/>
      <c r="FX98" s="1055"/>
      <c r="FY98" s="1471"/>
      <c r="FZ98" s="1471"/>
      <c r="GA98" s="1471"/>
      <c r="GB98" s="1479"/>
      <c r="GC98" s="1479"/>
      <c r="GD98" s="1479"/>
      <c r="GE98" s="1479"/>
      <c r="GF98" s="1479"/>
      <c r="GG98" s="1479"/>
      <c r="GH98" s="1479"/>
    </row>
    <row r="99" spans="144:190" s="1279" customFormat="1" ht="15" customHeight="1" x14ac:dyDescent="0.25">
      <c r="EN99" s="1479"/>
      <c r="EO99" s="1479"/>
      <c r="EP99" s="1479"/>
      <c r="EQ99" s="1479"/>
      <c r="ER99" s="1479"/>
      <c r="ES99" s="1479"/>
      <c r="ET99" s="1479"/>
      <c r="EU99" s="1479"/>
      <c r="EV99" s="1479"/>
      <c r="EW99" s="1479"/>
      <c r="EX99" s="1480"/>
      <c r="EY99" s="1480"/>
      <c r="EZ99" s="1470"/>
      <c r="FA99" s="1470"/>
      <c r="FB99" s="1055"/>
      <c r="FC99" s="1055"/>
      <c r="FD99" s="1104">
        <v>42242</v>
      </c>
      <c r="FE99" s="1055">
        <v>1</v>
      </c>
      <c r="FF99" s="1055">
        <v>80.724800000000002</v>
      </c>
      <c r="FG99" s="1055"/>
      <c r="FH99" s="1055"/>
      <c r="FI99" s="1055"/>
      <c r="FJ99" s="1055"/>
      <c r="FK99" s="1055"/>
      <c r="FL99" s="1055"/>
      <c r="FM99" s="1055"/>
      <c r="FN99" s="1055"/>
      <c r="FO99" s="1055"/>
      <c r="FP99" s="1055"/>
      <c r="FQ99" s="1055"/>
      <c r="FR99" s="1055"/>
      <c r="FS99" s="1055"/>
      <c r="FT99" s="1055"/>
      <c r="FU99" s="1055"/>
      <c r="FV99" s="1055"/>
      <c r="FW99" s="1055"/>
      <c r="FX99" s="1055"/>
      <c r="FY99" s="1471"/>
      <c r="FZ99" s="1471"/>
      <c r="GA99" s="1471"/>
      <c r="GB99" s="1479"/>
      <c r="GC99" s="1479"/>
      <c r="GD99" s="1479"/>
      <c r="GE99" s="1479"/>
      <c r="GF99" s="1479"/>
      <c r="GG99" s="1479"/>
      <c r="GH99" s="1479"/>
    </row>
    <row r="100" spans="144:190" s="1279" customFormat="1" ht="15" customHeight="1" x14ac:dyDescent="0.25">
      <c r="EN100" s="1479"/>
      <c r="EO100" s="1479"/>
      <c r="EP100" s="1479"/>
      <c r="EQ100" s="1479"/>
      <c r="ER100" s="1479"/>
      <c r="ES100" s="1479"/>
      <c r="ET100" s="1479"/>
      <c r="EU100" s="1479"/>
      <c r="EV100" s="1479"/>
      <c r="EW100" s="1479"/>
      <c r="EX100" s="1480"/>
      <c r="EY100" s="1480"/>
      <c r="EZ100" s="1470"/>
      <c r="FA100" s="1470"/>
      <c r="FB100" s="1055"/>
      <c r="FC100" s="1055"/>
      <c r="FD100" s="1104">
        <v>42243</v>
      </c>
      <c r="FE100" s="1055">
        <v>1</v>
      </c>
      <c r="FF100" s="1055">
        <v>79.725200000000001</v>
      </c>
      <c r="FG100" s="1055"/>
      <c r="FH100" s="1055"/>
      <c r="FI100" s="1055"/>
      <c r="FJ100" s="1055"/>
      <c r="FK100" s="1055"/>
      <c r="FL100" s="1055"/>
      <c r="FM100" s="1055"/>
      <c r="FN100" s="1055"/>
      <c r="FO100" s="1055"/>
      <c r="FP100" s="1055"/>
      <c r="FQ100" s="1055"/>
      <c r="FR100" s="1055"/>
      <c r="FS100" s="1055"/>
      <c r="FT100" s="1055"/>
      <c r="FU100" s="1055"/>
      <c r="FV100" s="1055"/>
      <c r="FW100" s="1055"/>
      <c r="FX100" s="1055"/>
      <c r="FY100" s="1471"/>
      <c r="FZ100" s="1471"/>
      <c r="GA100" s="1471"/>
      <c r="GB100" s="1479"/>
      <c r="GC100" s="1479"/>
      <c r="GD100" s="1479"/>
      <c r="GE100" s="1479"/>
      <c r="GF100" s="1479"/>
      <c r="GG100" s="1479"/>
      <c r="GH100" s="1479"/>
    </row>
    <row r="101" spans="144:190" s="1279" customFormat="1" ht="15" customHeight="1" x14ac:dyDescent="0.25">
      <c r="EN101" s="1479"/>
      <c r="EO101" s="1479"/>
      <c r="EP101" s="1479"/>
      <c r="EQ101" s="1479"/>
      <c r="ER101" s="1479"/>
      <c r="ES101" s="1479"/>
      <c r="ET101" s="1479"/>
      <c r="EU101" s="1479"/>
      <c r="EV101" s="1479"/>
      <c r="EW101" s="1479"/>
      <c r="EX101" s="1480"/>
      <c r="EY101" s="1480"/>
      <c r="EZ101" s="1470"/>
      <c r="FA101" s="1470"/>
      <c r="FB101" s="1055"/>
      <c r="FC101" s="1055"/>
      <c r="FD101" s="1104">
        <v>42244</v>
      </c>
      <c r="FE101" s="1055">
        <v>1</v>
      </c>
      <c r="FF101" s="1055">
        <v>76.3369</v>
      </c>
      <c r="FG101" s="1055"/>
      <c r="FH101" s="1055"/>
      <c r="FI101" s="1055"/>
      <c r="FJ101" s="1055"/>
      <c r="FK101" s="1055"/>
      <c r="FL101" s="1055"/>
      <c r="FM101" s="1055"/>
      <c r="FN101" s="1055"/>
      <c r="FO101" s="1055"/>
      <c r="FP101" s="1055"/>
      <c r="FQ101" s="1055"/>
      <c r="FR101" s="1055"/>
      <c r="FS101" s="1055"/>
      <c r="FT101" s="1055"/>
      <c r="FU101" s="1055"/>
      <c r="FV101" s="1055"/>
      <c r="FW101" s="1055"/>
      <c r="FX101" s="1055"/>
      <c r="FY101" s="1471"/>
      <c r="FZ101" s="1471"/>
      <c r="GA101" s="1471"/>
      <c r="GB101" s="1479"/>
      <c r="GC101" s="1479"/>
      <c r="GD101" s="1479"/>
      <c r="GE101" s="1479"/>
      <c r="GF101" s="1479"/>
      <c r="GG101" s="1479"/>
      <c r="GH101" s="1479"/>
    </row>
    <row r="102" spans="144:190" s="1279" customFormat="1" ht="15" customHeight="1" x14ac:dyDescent="0.25">
      <c r="EN102" s="1479"/>
      <c r="EO102" s="1479"/>
      <c r="EP102" s="1479"/>
      <c r="EQ102" s="1479"/>
      <c r="ER102" s="1479"/>
      <c r="ES102" s="1479"/>
      <c r="ET102" s="1479"/>
      <c r="EU102" s="1479"/>
      <c r="EV102" s="1479"/>
      <c r="EW102" s="1479"/>
      <c r="EX102" s="1480"/>
      <c r="EY102" s="1480"/>
      <c r="EZ102" s="1470"/>
      <c r="FA102" s="1470"/>
      <c r="FB102" s="1055"/>
      <c r="FC102" s="1055"/>
      <c r="FD102" s="1104">
        <v>42245</v>
      </c>
      <c r="FE102" s="1055">
        <v>1</v>
      </c>
      <c r="FF102" s="1055">
        <v>75.046899999999994</v>
      </c>
      <c r="FG102" s="1055"/>
      <c r="FH102" s="1055"/>
      <c r="FI102" s="1055"/>
      <c r="FJ102" s="1055"/>
      <c r="FK102" s="1055"/>
      <c r="FL102" s="1055"/>
      <c r="FM102" s="1055"/>
      <c r="FN102" s="1055"/>
      <c r="FO102" s="1055"/>
      <c r="FP102" s="1055"/>
      <c r="FQ102" s="1055"/>
      <c r="FR102" s="1055"/>
      <c r="FS102" s="1055"/>
      <c r="FT102" s="1055"/>
      <c r="FU102" s="1055"/>
      <c r="FV102" s="1055"/>
      <c r="FW102" s="1055"/>
      <c r="FX102" s="1055"/>
      <c r="FY102" s="1471"/>
      <c r="FZ102" s="1471"/>
      <c r="GA102" s="1471"/>
      <c r="GB102" s="1479"/>
      <c r="GC102" s="1479"/>
      <c r="GD102" s="1479"/>
      <c r="GE102" s="1479"/>
      <c r="GF102" s="1479"/>
      <c r="GG102" s="1479"/>
      <c r="GH102" s="1479"/>
    </row>
    <row r="103" spans="144:190" s="1279" customFormat="1" ht="15" customHeight="1" x14ac:dyDescent="0.25">
      <c r="EN103" s="1479"/>
      <c r="EO103" s="1479"/>
      <c r="EP103" s="1479"/>
      <c r="EQ103" s="1479"/>
      <c r="ER103" s="1479"/>
      <c r="ES103" s="1479"/>
      <c r="ET103" s="1479"/>
      <c r="EU103" s="1479"/>
      <c r="EV103" s="1479"/>
      <c r="EW103" s="1479"/>
      <c r="EX103" s="1480"/>
      <c r="EY103" s="1480"/>
      <c r="EZ103" s="1470"/>
      <c r="FA103" s="1470"/>
      <c r="FB103" s="1055"/>
      <c r="FC103" s="1055"/>
      <c r="FD103" s="1104">
        <v>42248</v>
      </c>
      <c r="FE103" s="1055">
        <v>1</v>
      </c>
      <c r="FF103" s="1055">
        <v>74.847800000000007</v>
      </c>
      <c r="FG103" s="1055"/>
      <c r="FH103" s="1055"/>
      <c r="FI103" s="1055"/>
      <c r="FJ103" s="1055"/>
      <c r="FK103" s="1055"/>
      <c r="FL103" s="1055"/>
      <c r="FM103" s="1055"/>
      <c r="FN103" s="1055"/>
      <c r="FO103" s="1055"/>
      <c r="FP103" s="1055"/>
      <c r="FQ103" s="1055"/>
      <c r="FR103" s="1055"/>
      <c r="FS103" s="1055"/>
      <c r="FT103" s="1055"/>
      <c r="FU103" s="1055"/>
      <c r="FV103" s="1055"/>
      <c r="FW103" s="1055"/>
      <c r="FX103" s="1055"/>
      <c r="FY103" s="1471"/>
      <c r="FZ103" s="1471"/>
      <c r="GA103" s="1471"/>
      <c r="GB103" s="1479"/>
      <c r="GC103" s="1479"/>
      <c r="GD103" s="1479"/>
      <c r="GE103" s="1479"/>
      <c r="GF103" s="1479"/>
      <c r="GG103" s="1479"/>
      <c r="GH103" s="1479"/>
    </row>
    <row r="104" spans="144:190" s="1279" customFormat="1" ht="15" customHeight="1" x14ac:dyDescent="0.25">
      <c r="EN104" s="1479"/>
      <c r="EO104" s="1479"/>
      <c r="EP104" s="1479"/>
      <c r="EQ104" s="1479"/>
      <c r="ER104" s="1479"/>
      <c r="ES104" s="1479"/>
      <c r="ET104" s="1479"/>
      <c r="EU104" s="1479"/>
      <c r="EV104" s="1479"/>
      <c r="EW104" s="1479"/>
      <c r="EX104" s="1480"/>
      <c r="EY104" s="1480"/>
      <c r="EZ104" s="1470"/>
      <c r="FA104" s="1470"/>
      <c r="FB104" s="1055"/>
      <c r="FC104" s="1055"/>
      <c r="FD104" s="1104">
        <v>42249</v>
      </c>
      <c r="FE104" s="1055">
        <v>1</v>
      </c>
      <c r="FF104" s="1055">
        <v>73.844899999999996</v>
      </c>
      <c r="FG104" s="1055"/>
      <c r="FH104" s="1055"/>
      <c r="FI104" s="1055"/>
      <c r="FJ104" s="1055"/>
      <c r="FK104" s="1055"/>
      <c r="FL104" s="1055"/>
      <c r="FM104" s="1055"/>
      <c r="FN104" s="1055"/>
      <c r="FO104" s="1055"/>
      <c r="FP104" s="1055"/>
      <c r="FQ104" s="1055"/>
      <c r="FR104" s="1055"/>
      <c r="FS104" s="1055"/>
      <c r="FT104" s="1055"/>
      <c r="FU104" s="1055"/>
      <c r="FV104" s="1055"/>
      <c r="FW104" s="1055"/>
      <c r="FX104" s="1055"/>
      <c r="FY104" s="1471"/>
      <c r="FZ104" s="1471"/>
      <c r="GA104" s="1471"/>
      <c r="GB104" s="1479"/>
      <c r="GC104" s="1479"/>
      <c r="GD104" s="1479"/>
      <c r="GE104" s="1479"/>
      <c r="GF104" s="1479"/>
      <c r="GG104" s="1479"/>
      <c r="GH104" s="1479"/>
    </row>
    <row r="105" spans="144:190" s="1279" customFormat="1" ht="15" customHeight="1" x14ac:dyDescent="0.25">
      <c r="EN105" s="1479"/>
      <c r="EO105" s="1479"/>
      <c r="EP105" s="1479"/>
      <c r="EQ105" s="1479"/>
      <c r="ER105" s="1479"/>
      <c r="ES105" s="1479"/>
      <c r="ET105" s="1479"/>
      <c r="EU105" s="1479"/>
      <c r="EV105" s="1479"/>
      <c r="EW105" s="1479"/>
      <c r="EX105" s="1480"/>
      <c r="EY105" s="1480"/>
      <c r="EZ105" s="1470"/>
      <c r="FA105" s="1470"/>
      <c r="FB105" s="1055"/>
      <c r="FC105" s="1055"/>
      <c r="FD105" s="1104">
        <v>42250</v>
      </c>
      <c r="FE105" s="1055">
        <v>1</v>
      </c>
      <c r="FF105" s="1055">
        <v>75.090100000000007</v>
      </c>
      <c r="FG105" s="1055"/>
      <c r="FH105" s="1055"/>
      <c r="FI105" s="1055"/>
      <c r="FJ105" s="1055"/>
      <c r="FK105" s="1055"/>
      <c r="FL105" s="1055"/>
      <c r="FM105" s="1055"/>
      <c r="FN105" s="1055"/>
      <c r="FO105" s="1055"/>
      <c r="FP105" s="1055"/>
      <c r="FQ105" s="1055"/>
      <c r="FR105" s="1055"/>
      <c r="FS105" s="1055"/>
      <c r="FT105" s="1055"/>
      <c r="FU105" s="1055"/>
      <c r="FV105" s="1055"/>
      <c r="FW105" s="1055"/>
      <c r="FX105" s="1055"/>
      <c r="FY105" s="1471"/>
      <c r="FZ105" s="1471"/>
      <c r="GA105" s="1471"/>
      <c r="GB105" s="1479"/>
      <c r="GC105" s="1479"/>
      <c r="GD105" s="1479"/>
      <c r="GE105" s="1479"/>
      <c r="GF105" s="1479"/>
      <c r="GG105" s="1479"/>
      <c r="GH105" s="1479"/>
    </row>
    <row r="106" spans="144:190" s="1279" customFormat="1" ht="15" customHeight="1" x14ac:dyDescent="0.25">
      <c r="EN106" s="1479"/>
      <c r="EO106" s="1479"/>
      <c r="EP106" s="1479"/>
      <c r="EQ106" s="1479"/>
      <c r="ER106" s="1479"/>
      <c r="ES106" s="1479"/>
      <c r="ET106" s="1479"/>
      <c r="EU106" s="1479"/>
      <c r="EV106" s="1479"/>
      <c r="EW106" s="1479"/>
      <c r="EX106" s="1480"/>
      <c r="EY106" s="1480"/>
      <c r="EZ106" s="1470"/>
      <c r="FA106" s="1470"/>
      <c r="FB106" s="1055"/>
      <c r="FC106" s="1055"/>
      <c r="FD106" s="1104">
        <v>42251</v>
      </c>
      <c r="FE106" s="1055">
        <v>1</v>
      </c>
      <c r="FF106" s="1055">
        <v>75.265900000000002</v>
      </c>
      <c r="FG106" s="1055"/>
      <c r="FH106" s="1055"/>
      <c r="FI106" s="1055"/>
      <c r="FJ106" s="1055"/>
      <c r="FK106" s="1055"/>
      <c r="FL106" s="1055"/>
      <c r="FM106" s="1055"/>
      <c r="FN106" s="1055"/>
      <c r="FO106" s="1055"/>
      <c r="FP106" s="1055"/>
      <c r="FQ106" s="1055"/>
      <c r="FR106" s="1055"/>
      <c r="FS106" s="1055"/>
      <c r="FT106" s="1055"/>
      <c r="FU106" s="1055"/>
      <c r="FV106" s="1055"/>
      <c r="FW106" s="1055"/>
      <c r="FX106" s="1055"/>
      <c r="FY106" s="1471"/>
      <c r="FZ106" s="1471"/>
      <c r="GA106" s="1471"/>
      <c r="GB106" s="1479"/>
      <c r="GC106" s="1479"/>
      <c r="GD106" s="1479"/>
      <c r="GE106" s="1479"/>
      <c r="GF106" s="1479"/>
      <c r="GG106" s="1479"/>
      <c r="GH106" s="1479"/>
    </row>
    <row r="107" spans="144:190" s="1279" customFormat="1" ht="15" customHeight="1" x14ac:dyDescent="0.25">
      <c r="EN107" s="1479"/>
      <c r="EO107" s="1479"/>
      <c r="EP107" s="1479"/>
      <c r="EQ107" s="1479"/>
      <c r="ER107" s="1479"/>
      <c r="ES107" s="1479"/>
      <c r="ET107" s="1479"/>
      <c r="EU107" s="1479"/>
      <c r="EV107" s="1479"/>
      <c r="EW107" s="1479"/>
      <c r="EX107" s="1480"/>
      <c r="EY107" s="1480"/>
      <c r="EZ107" s="1470"/>
      <c r="FA107" s="1470"/>
      <c r="FB107" s="1055"/>
      <c r="FC107" s="1055"/>
      <c r="FD107" s="1104">
        <v>42252</v>
      </c>
      <c r="FE107" s="1055">
        <v>1</v>
      </c>
      <c r="FF107" s="1055">
        <v>75.4011</v>
      </c>
      <c r="FG107" s="1055"/>
      <c r="FH107" s="1055"/>
      <c r="FI107" s="1055"/>
      <c r="FJ107" s="1055"/>
      <c r="FK107" s="1055"/>
      <c r="FL107" s="1055"/>
      <c r="FM107" s="1055"/>
      <c r="FN107" s="1055"/>
      <c r="FO107" s="1055"/>
      <c r="FP107" s="1055"/>
      <c r="FQ107" s="1055"/>
      <c r="FR107" s="1055"/>
      <c r="FS107" s="1055"/>
      <c r="FT107" s="1055"/>
      <c r="FU107" s="1055"/>
      <c r="FV107" s="1055"/>
      <c r="FW107" s="1055"/>
      <c r="FX107" s="1055"/>
      <c r="FY107" s="1471"/>
      <c r="FZ107" s="1471"/>
      <c r="GA107" s="1471"/>
      <c r="GB107" s="1479"/>
      <c r="GC107" s="1479"/>
      <c r="GD107" s="1479"/>
      <c r="GE107" s="1479"/>
      <c r="GF107" s="1479"/>
      <c r="GG107" s="1479"/>
      <c r="GH107" s="1479"/>
    </row>
    <row r="108" spans="144:190" s="1279" customFormat="1" ht="15" customHeight="1" x14ac:dyDescent="0.25">
      <c r="EN108" s="1479"/>
      <c r="EO108" s="1479"/>
      <c r="EP108" s="1479"/>
      <c r="EQ108" s="1479"/>
      <c r="ER108" s="1479"/>
      <c r="ES108" s="1479"/>
      <c r="ET108" s="1479"/>
      <c r="EU108" s="1479"/>
      <c r="EV108" s="1479"/>
      <c r="EW108" s="1479"/>
      <c r="EX108" s="1480"/>
      <c r="EY108" s="1480"/>
      <c r="EZ108" s="1470"/>
      <c r="FA108" s="1470"/>
      <c r="FB108" s="1055"/>
      <c r="FC108" s="1055"/>
      <c r="FD108" s="1104">
        <v>42255</v>
      </c>
      <c r="FE108" s="1055">
        <v>1</v>
      </c>
      <c r="FF108" s="1055">
        <v>76.369200000000006</v>
      </c>
      <c r="FG108" s="1055"/>
      <c r="FH108" s="1055"/>
      <c r="FI108" s="1055"/>
      <c r="FJ108" s="1055"/>
      <c r="FK108" s="1055"/>
      <c r="FL108" s="1055"/>
      <c r="FM108" s="1055"/>
      <c r="FN108" s="1055"/>
      <c r="FO108" s="1055"/>
      <c r="FP108" s="1055"/>
      <c r="FQ108" s="1055"/>
      <c r="FR108" s="1055"/>
      <c r="FS108" s="1055"/>
      <c r="FT108" s="1055"/>
      <c r="FU108" s="1055"/>
      <c r="FV108" s="1055"/>
      <c r="FW108" s="1055"/>
      <c r="FX108" s="1055"/>
      <c r="FY108" s="1471"/>
      <c r="FZ108" s="1471"/>
      <c r="GA108" s="1471"/>
      <c r="GB108" s="1479"/>
      <c r="GC108" s="1479"/>
      <c r="GD108" s="1479"/>
      <c r="GE108" s="1479"/>
      <c r="GF108" s="1479"/>
      <c r="GG108" s="1479"/>
      <c r="GH108" s="1479"/>
    </row>
    <row r="109" spans="144:190" s="1279" customFormat="1" ht="15" customHeight="1" x14ac:dyDescent="0.25">
      <c r="EN109" s="1479"/>
      <c r="EO109" s="1479"/>
      <c r="EP109" s="1479"/>
      <c r="EQ109" s="1479"/>
      <c r="ER109" s="1479"/>
      <c r="ES109" s="1479"/>
      <c r="ET109" s="1479"/>
      <c r="EU109" s="1479"/>
      <c r="EV109" s="1479"/>
      <c r="EW109" s="1479"/>
      <c r="EX109" s="1480"/>
      <c r="EY109" s="1480"/>
      <c r="EZ109" s="1470"/>
      <c r="FA109" s="1470"/>
      <c r="FB109" s="1055"/>
      <c r="FC109" s="1055"/>
      <c r="FD109" s="1104">
        <v>42256</v>
      </c>
      <c r="FE109" s="1055">
        <v>1</v>
      </c>
      <c r="FF109" s="1055">
        <v>76.924599999999998</v>
      </c>
      <c r="FG109" s="1055"/>
      <c r="FH109" s="1055"/>
      <c r="FI109" s="1055"/>
      <c r="FJ109" s="1055"/>
      <c r="FK109" s="1055"/>
      <c r="FL109" s="1055"/>
      <c r="FM109" s="1055"/>
      <c r="FN109" s="1055"/>
      <c r="FO109" s="1055"/>
      <c r="FP109" s="1055"/>
      <c r="FQ109" s="1055"/>
      <c r="FR109" s="1055"/>
      <c r="FS109" s="1055"/>
      <c r="FT109" s="1055"/>
      <c r="FU109" s="1055"/>
      <c r="FV109" s="1055"/>
      <c r="FW109" s="1055"/>
      <c r="FX109" s="1055"/>
      <c r="FY109" s="1471"/>
      <c r="FZ109" s="1471"/>
      <c r="GA109" s="1471"/>
      <c r="GB109" s="1479"/>
      <c r="GC109" s="1479"/>
      <c r="GD109" s="1479"/>
      <c r="GE109" s="1479"/>
      <c r="GF109" s="1479"/>
      <c r="GG109" s="1479"/>
      <c r="GH109" s="1479"/>
    </row>
    <row r="110" spans="144:190" s="1279" customFormat="1" ht="15" customHeight="1" x14ac:dyDescent="0.25">
      <c r="EN110" s="1479"/>
      <c r="EO110" s="1479"/>
      <c r="EP110" s="1479"/>
      <c r="EQ110" s="1479"/>
      <c r="ER110" s="1479"/>
      <c r="ES110" s="1479"/>
      <c r="ET110" s="1479"/>
      <c r="EU110" s="1479"/>
      <c r="EV110" s="1479"/>
      <c r="EW110" s="1479"/>
      <c r="EX110" s="1480"/>
      <c r="EY110" s="1480"/>
      <c r="EZ110" s="1470"/>
      <c r="FA110" s="1470"/>
      <c r="FB110" s="1055"/>
      <c r="FC110" s="1055"/>
      <c r="FD110" s="1104">
        <v>42257</v>
      </c>
      <c r="FE110" s="1055">
        <v>1</v>
      </c>
      <c r="FF110" s="1055">
        <v>75.574200000000005</v>
      </c>
      <c r="FG110" s="1055"/>
      <c r="FH110" s="1055"/>
      <c r="FI110" s="1055"/>
      <c r="FJ110" s="1055"/>
      <c r="FK110" s="1055"/>
      <c r="FL110" s="1055"/>
      <c r="FM110" s="1055"/>
      <c r="FN110" s="1055"/>
      <c r="FO110" s="1055"/>
      <c r="FP110" s="1055"/>
      <c r="FQ110" s="1055"/>
      <c r="FR110" s="1055"/>
      <c r="FS110" s="1055"/>
      <c r="FT110" s="1055"/>
      <c r="FU110" s="1055"/>
      <c r="FV110" s="1055"/>
      <c r="FW110" s="1055"/>
      <c r="FX110" s="1055"/>
      <c r="FY110" s="1471"/>
      <c r="FZ110" s="1471"/>
      <c r="GA110" s="1471"/>
      <c r="GB110" s="1479"/>
      <c r="GC110" s="1479"/>
      <c r="GD110" s="1479"/>
      <c r="GE110" s="1479"/>
      <c r="GF110" s="1479"/>
      <c r="GG110" s="1479"/>
      <c r="GH110" s="1479"/>
    </row>
    <row r="111" spans="144:190" s="1279" customFormat="1" ht="15" customHeight="1" x14ac:dyDescent="0.25">
      <c r="EN111" s="1479"/>
      <c r="EO111" s="1479"/>
      <c r="EP111" s="1479"/>
      <c r="EQ111" s="1479"/>
      <c r="ER111" s="1479"/>
      <c r="ES111" s="1479"/>
      <c r="ET111" s="1479"/>
      <c r="EU111" s="1479"/>
      <c r="EV111" s="1479"/>
      <c r="EW111" s="1479"/>
      <c r="EX111" s="1480"/>
      <c r="EY111" s="1480"/>
      <c r="EZ111" s="1470"/>
      <c r="FA111" s="1470"/>
      <c r="FB111" s="1055"/>
      <c r="FC111" s="1055"/>
      <c r="FD111" s="1104">
        <v>42258</v>
      </c>
      <c r="FE111" s="1055">
        <v>1</v>
      </c>
      <c r="FF111" s="1055">
        <v>76.695099999999996</v>
      </c>
      <c r="FG111" s="1055"/>
      <c r="FH111" s="1055"/>
      <c r="FI111" s="1055"/>
      <c r="FJ111" s="1055"/>
      <c r="FK111" s="1055"/>
      <c r="FL111" s="1055"/>
      <c r="FM111" s="1055"/>
      <c r="FN111" s="1055"/>
      <c r="FO111" s="1055"/>
      <c r="FP111" s="1055"/>
      <c r="FQ111" s="1055"/>
      <c r="FR111" s="1055"/>
      <c r="FS111" s="1055"/>
      <c r="FT111" s="1055"/>
      <c r="FU111" s="1055"/>
      <c r="FV111" s="1055"/>
      <c r="FW111" s="1055"/>
      <c r="FX111" s="1055"/>
      <c r="FY111" s="1471"/>
      <c r="FZ111" s="1471"/>
      <c r="GA111" s="1471"/>
      <c r="GB111" s="1479"/>
      <c r="GC111" s="1479"/>
      <c r="GD111" s="1479"/>
      <c r="GE111" s="1479"/>
      <c r="GF111" s="1479"/>
      <c r="GG111" s="1479"/>
      <c r="GH111" s="1479"/>
    </row>
    <row r="112" spans="144:190" s="1279" customFormat="1" ht="15" customHeight="1" x14ac:dyDescent="0.25">
      <c r="EN112" s="1479"/>
      <c r="EO112" s="1479"/>
      <c r="EP112" s="1479"/>
      <c r="EQ112" s="1479"/>
      <c r="ER112" s="1479"/>
      <c r="ES112" s="1479"/>
      <c r="ET112" s="1479"/>
      <c r="EU112" s="1479"/>
      <c r="EV112" s="1479"/>
      <c r="EW112" s="1479"/>
      <c r="EX112" s="1480"/>
      <c r="EY112" s="1480"/>
      <c r="EZ112" s="1470"/>
      <c r="FA112" s="1470"/>
      <c r="FB112" s="1055"/>
      <c r="FC112" s="1055"/>
      <c r="FD112" s="1104">
        <v>42259</v>
      </c>
      <c r="FE112" s="1055">
        <v>1</v>
      </c>
      <c r="FF112" s="1055">
        <v>76.816500000000005</v>
      </c>
      <c r="FG112" s="1055"/>
      <c r="FH112" s="1055"/>
      <c r="FI112" s="1055"/>
      <c r="FJ112" s="1055"/>
      <c r="FK112" s="1055"/>
      <c r="FL112" s="1055"/>
      <c r="FM112" s="1055"/>
      <c r="FN112" s="1055"/>
      <c r="FO112" s="1055"/>
      <c r="FP112" s="1055"/>
      <c r="FQ112" s="1055"/>
      <c r="FR112" s="1055"/>
      <c r="FS112" s="1055"/>
      <c r="FT112" s="1055"/>
      <c r="FU112" s="1055"/>
      <c r="FV112" s="1055"/>
      <c r="FW112" s="1055"/>
      <c r="FX112" s="1055"/>
      <c r="FY112" s="1471"/>
      <c r="FZ112" s="1471"/>
      <c r="GA112" s="1471"/>
      <c r="GB112" s="1479"/>
      <c r="GC112" s="1479"/>
      <c r="GD112" s="1479"/>
      <c r="GE112" s="1479"/>
      <c r="GF112" s="1479"/>
      <c r="GG112" s="1479"/>
      <c r="GH112" s="1479"/>
    </row>
    <row r="113" spans="144:190" s="1279" customFormat="1" ht="15" customHeight="1" x14ac:dyDescent="0.25">
      <c r="EN113" s="1479"/>
      <c r="EO113" s="1479"/>
      <c r="EP113" s="1479"/>
      <c r="EQ113" s="1479"/>
      <c r="ER113" s="1479"/>
      <c r="ES113" s="1479"/>
      <c r="ET113" s="1479"/>
      <c r="EU113" s="1479"/>
      <c r="EV113" s="1479"/>
      <c r="EW113" s="1479"/>
      <c r="EX113" s="1480"/>
      <c r="EY113" s="1480"/>
      <c r="EZ113" s="1470"/>
      <c r="FA113" s="1470"/>
      <c r="FB113" s="1055"/>
      <c r="FC113" s="1055"/>
      <c r="FD113" s="1104">
        <v>42262</v>
      </c>
      <c r="FE113" s="1055">
        <v>1</v>
      </c>
      <c r="FF113" s="1055">
        <v>77.131299999999996</v>
      </c>
      <c r="FG113" s="1055"/>
      <c r="FH113" s="1055"/>
      <c r="FI113" s="1055"/>
      <c r="FJ113" s="1055"/>
      <c r="FK113" s="1055"/>
      <c r="FL113" s="1055"/>
      <c r="FM113" s="1055"/>
      <c r="FN113" s="1055"/>
      <c r="FO113" s="1055"/>
      <c r="FP113" s="1055"/>
      <c r="FQ113" s="1055"/>
      <c r="FR113" s="1055"/>
      <c r="FS113" s="1055"/>
      <c r="FT113" s="1055"/>
      <c r="FU113" s="1055"/>
      <c r="FV113" s="1055"/>
      <c r="FW113" s="1055"/>
      <c r="FX113" s="1055"/>
      <c r="FY113" s="1471"/>
      <c r="FZ113" s="1471"/>
      <c r="GA113" s="1471"/>
      <c r="GB113" s="1479"/>
      <c r="GC113" s="1479"/>
      <c r="GD113" s="1479"/>
      <c r="GE113" s="1479"/>
      <c r="GF113" s="1479"/>
      <c r="GG113" s="1479"/>
      <c r="GH113" s="1479"/>
    </row>
    <row r="114" spans="144:190" s="1279" customFormat="1" ht="15" customHeight="1" x14ac:dyDescent="0.25">
      <c r="EN114" s="1479"/>
      <c r="EO114" s="1479"/>
      <c r="EP114" s="1479"/>
      <c r="EQ114" s="1479"/>
      <c r="ER114" s="1479"/>
      <c r="ES114" s="1479"/>
      <c r="ET114" s="1479"/>
      <c r="EU114" s="1479"/>
      <c r="EV114" s="1479"/>
      <c r="EW114" s="1479"/>
      <c r="EX114" s="1480"/>
      <c r="EY114" s="1480"/>
      <c r="EZ114" s="1470"/>
      <c r="FA114" s="1470"/>
      <c r="FB114" s="1055"/>
      <c r="FC114" s="1055"/>
      <c r="FD114" s="1104">
        <v>42263</v>
      </c>
      <c r="FE114" s="1055">
        <v>1</v>
      </c>
      <c r="FF114" s="1055">
        <v>75.901300000000006</v>
      </c>
      <c r="FG114" s="1055"/>
      <c r="FH114" s="1055"/>
      <c r="FI114" s="1055"/>
      <c r="FJ114" s="1055"/>
      <c r="FK114" s="1055"/>
      <c r="FL114" s="1055"/>
      <c r="FM114" s="1055"/>
      <c r="FN114" s="1055"/>
      <c r="FO114" s="1055"/>
      <c r="FP114" s="1055"/>
      <c r="FQ114" s="1055"/>
      <c r="FR114" s="1055"/>
      <c r="FS114" s="1055"/>
      <c r="FT114" s="1055"/>
      <c r="FU114" s="1055"/>
      <c r="FV114" s="1055"/>
      <c r="FW114" s="1055"/>
      <c r="FX114" s="1055"/>
      <c r="FY114" s="1471"/>
      <c r="FZ114" s="1471"/>
      <c r="GA114" s="1471"/>
      <c r="GB114" s="1479"/>
      <c r="GC114" s="1479"/>
      <c r="GD114" s="1479"/>
      <c r="GE114" s="1479"/>
      <c r="GF114" s="1479"/>
      <c r="GG114" s="1479"/>
      <c r="GH114" s="1479"/>
    </row>
    <row r="115" spans="144:190" s="1279" customFormat="1" ht="15" customHeight="1" x14ac:dyDescent="0.25">
      <c r="EN115" s="1479"/>
      <c r="EO115" s="1479"/>
      <c r="EP115" s="1479"/>
      <c r="EQ115" s="1479"/>
      <c r="ER115" s="1479"/>
      <c r="ES115" s="1479"/>
      <c r="ET115" s="1479"/>
      <c r="EU115" s="1479"/>
      <c r="EV115" s="1479"/>
      <c r="EW115" s="1479"/>
      <c r="EX115" s="1480"/>
      <c r="EY115" s="1480"/>
      <c r="EZ115" s="1470"/>
      <c r="FA115" s="1470"/>
      <c r="FB115" s="1055"/>
      <c r="FC115" s="1055"/>
      <c r="FD115" s="1104">
        <v>42264</v>
      </c>
      <c r="FE115" s="1055">
        <v>1</v>
      </c>
      <c r="FF115" s="1055">
        <v>74.240700000000004</v>
      </c>
      <c r="FG115" s="1055"/>
      <c r="FH115" s="1055"/>
      <c r="FI115" s="1055"/>
      <c r="FJ115" s="1055"/>
      <c r="FK115" s="1055"/>
      <c r="FL115" s="1055"/>
      <c r="FM115" s="1055"/>
      <c r="FN115" s="1055"/>
      <c r="FO115" s="1055"/>
      <c r="FP115" s="1055"/>
      <c r="FQ115" s="1055"/>
      <c r="FR115" s="1055"/>
      <c r="FS115" s="1055"/>
      <c r="FT115" s="1055"/>
      <c r="FU115" s="1055"/>
      <c r="FV115" s="1055"/>
      <c r="FW115" s="1055"/>
      <c r="FX115" s="1055"/>
      <c r="FY115" s="1471"/>
      <c r="FZ115" s="1471"/>
      <c r="GA115" s="1471"/>
      <c r="GB115" s="1479"/>
      <c r="GC115" s="1479"/>
      <c r="GD115" s="1479"/>
      <c r="GE115" s="1479"/>
      <c r="GF115" s="1479"/>
      <c r="GG115" s="1479"/>
      <c r="GH115" s="1479"/>
    </row>
    <row r="116" spans="144:190" s="1279" customFormat="1" ht="15" customHeight="1" x14ac:dyDescent="0.25">
      <c r="EN116" s="1479"/>
      <c r="EO116" s="1479"/>
      <c r="EP116" s="1479"/>
      <c r="EQ116" s="1479"/>
      <c r="ER116" s="1479"/>
      <c r="ES116" s="1479"/>
      <c r="ET116" s="1479"/>
      <c r="EU116" s="1479"/>
      <c r="EV116" s="1479"/>
      <c r="EW116" s="1479"/>
      <c r="EX116" s="1480"/>
      <c r="EY116" s="1480"/>
      <c r="EZ116" s="1470"/>
      <c r="FA116" s="1470"/>
      <c r="FB116" s="1055"/>
      <c r="FC116" s="1055"/>
      <c r="FD116" s="1104">
        <v>42265</v>
      </c>
      <c r="FE116" s="1055">
        <v>1</v>
      </c>
      <c r="FF116" s="1055">
        <v>73.937799999999996</v>
      </c>
      <c r="FG116" s="1055"/>
      <c r="FH116" s="1055"/>
      <c r="FI116" s="1055"/>
      <c r="FJ116" s="1055"/>
      <c r="FK116" s="1055"/>
      <c r="FL116" s="1055"/>
      <c r="FM116" s="1055"/>
      <c r="FN116" s="1055"/>
      <c r="FO116" s="1055"/>
      <c r="FP116" s="1055"/>
      <c r="FQ116" s="1055"/>
      <c r="FR116" s="1055"/>
      <c r="FS116" s="1055"/>
      <c r="FT116" s="1055"/>
      <c r="FU116" s="1055"/>
      <c r="FV116" s="1055"/>
      <c r="FW116" s="1055"/>
      <c r="FX116" s="1055"/>
      <c r="FY116" s="1471"/>
      <c r="FZ116" s="1471"/>
      <c r="GA116" s="1471"/>
      <c r="GB116" s="1479"/>
      <c r="GC116" s="1479"/>
      <c r="GD116" s="1479"/>
      <c r="GE116" s="1479"/>
      <c r="GF116" s="1479"/>
      <c r="GG116" s="1479"/>
      <c r="GH116" s="1479"/>
    </row>
    <row r="117" spans="144:190" s="1279" customFormat="1" ht="15" customHeight="1" x14ac:dyDescent="0.25">
      <c r="EN117" s="1479"/>
      <c r="EO117" s="1479"/>
      <c r="EP117" s="1479"/>
      <c r="EQ117" s="1479"/>
      <c r="ER117" s="1479"/>
      <c r="ES117" s="1479"/>
      <c r="ET117" s="1479"/>
      <c r="EU117" s="1479"/>
      <c r="EV117" s="1479"/>
      <c r="EW117" s="1479"/>
      <c r="EX117" s="1480"/>
      <c r="EY117" s="1480"/>
      <c r="EZ117" s="1470"/>
      <c r="FA117" s="1470"/>
      <c r="FB117" s="1055"/>
      <c r="FC117" s="1055"/>
      <c r="FD117" s="1104">
        <v>42266</v>
      </c>
      <c r="FE117" s="1055">
        <v>1</v>
      </c>
      <c r="FF117" s="1055">
        <v>74.9726</v>
      </c>
      <c r="FG117" s="1055"/>
      <c r="FH117" s="1055"/>
      <c r="FI117" s="1055"/>
      <c r="FJ117" s="1055"/>
      <c r="FK117" s="1055"/>
      <c r="FL117" s="1055"/>
      <c r="FM117" s="1055"/>
      <c r="FN117" s="1055"/>
      <c r="FO117" s="1055"/>
      <c r="FP117" s="1055"/>
      <c r="FQ117" s="1055"/>
      <c r="FR117" s="1055"/>
      <c r="FS117" s="1055"/>
      <c r="FT117" s="1055"/>
      <c r="FU117" s="1055"/>
      <c r="FV117" s="1055"/>
      <c r="FW117" s="1055"/>
      <c r="FX117" s="1055"/>
      <c r="FY117" s="1471"/>
      <c r="FZ117" s="1471"/>
      <c r="GA117" s="1471"/>
      <c r="GB117" s="1479"/>
      <c r="GC117" s="1479"/>
      <c r="GD117" s="1479"/>
      <c r="GE117" s="1479"/>
      <c r="GF117" s="1479"/>
      <c r="GG117" s="1479"/>
      <c r="GH117" s="1479"/>
    </row>
    <row r="118" spans="144:190" s="1279" customFormat="1" ht="15" customHeight="1" x14ac:dyDescent="0.25">
      <c r="EN118" s="1479"/>
      <c r="EO118" s="1479"/>
      <c r="EP118" s="1479"/>
      <c r="EQ118" s="1479"/>
      <c r="ER118" s="1479"/>
      <c r="ES118" s="1479"/>
      <c r="ET118" s="1479"/>
      <c r="EU118" s="1479"/>
      <c r="EV118" s="1479"/>
      <c r="EW118" s="1479"/>
      <c r="EX118" s="1480"/>
      <c r="EY118" s="1480"/>
      <c r="EZ118" s="1470"/>
      <c r="FA118" s="1470"/>
      <c r="FB118" s="1055"/>
      <c r="FC118" s="1055"/>
      <c r="FD118" s="1104">
        <v>42269</v>
      </c>
      <c r="FE118" s="1055">
        <v>1</v>
      </c>
      <c r="FF118" s="1055">
        <v>74.830399999999997</v>
      </c>
      <c r="FG118" s="1055"/>
      <c r="FH118" s="1055"/>
      <c r="FI118" s="1055"/>
      <c r="FJ118" s="1055"/>
      <c r="FK118" s="1055"/>
      <c r="FL118" s="1055"/>
      <c r="FM118" s="1055"/>
      <c r="FN118" s="1055"/>
      <c r="FO118" s="1055"/>
      <c r="FP118" s="1055"/>
      <c r="FQ118" s="1055"/>
      <c r="FR118" s="1055"/>
      <c r="FS118" s="1055"/>
      <c r="FT118" s="1055"/>
      <c r="FU118" s="1055"/>
      <c r="FV118" s="1055"/>
      <c r="FW118" s="1055"/>
      <c r="FX118" s="1055"/>
      <c r="FY118" s="1471"/>
      <c r="FZ118" s="1471"/>
      <c r="GA118" s="1471"/>
      <c r="GB118" s="1479"/>
      <c r="GC118" s="1479"/>
      <c r="GD118" s="1479"/>
      <c r="GE118" s="1479"/>
      <c r="GF118" s="1479"/>
      <c r="GG118" s="1479"/>
      <c r="GH118" s="1479"/>
    </row>
    <row r="119" spans="144:190" s="1279" customFormat="1" ht="15" customHeight="1" x14ac:dyDescent="0.25">
      <c r="EN119" s="1479"/>
      <c r="EO119" s="1479"/>
      <c r="EP119" s="1479"/>
      <c r="EQ119" s="1479"/>
      <c r="ER119" s="1479"/>
      <c r="ES119" s="1479"/>
      <c r="ET119" s="1479"/>
      <c r="EU119" s="1479"/>
      <c r="EV119" s="1479"/>
      <c r="EW119" s="1479"/>
      <c r="EX119" s="1480"/>
      <c r="EY119" s="1480"/>
      <c r="EZ119" s="1470"/>
      <c r="FA119" s="1470"/>
      <c r="FB119" s="1055"/>
      <c r="FC119" s="1055"/>
      <c r="FD119" s="1104">
        <v>42270</v>
      </c>
      <c r="FE119" s="1055">
        <v>1</v>
      </c>
      <c r="FF119" s="1055">
        <v>73.956800000000001</v>
      </c>
      <c r="FG119" s="1055"/>
      <c r="FH119" s="1055"/>
      <c r="FI119" s="1055"/>
      <c r="FJ119" s="1055"/>
      <c r="FK119" s="1055"/>
      <c r="FL119" s="1055"/>
      <c r="FM119" s="1055"/>
      <c r="FN119" s="1055"/>
      <c r="FO119" s="1055"/>
      <c r="FP119" s="1055"/>
      <c r="FQ119" s="1055"/>
      <c r="FR119" s="1055"/>
      <c r="FS119" s="1055"/>
      <c r="FT119" s="1055"/>
      <c r="FU119" s="1055"/>
      <c r="FV119" s="1055"/>
      <c r="FW119" s="1055"/>
      <c r="FX119" s="1055"/>
      <c r="FY119" s="1471"/>
      <c r="FZ119" s="1471"/>
      <c r="GA119" s="1471"/>
      <c r="GB119" s="1479"/>
      <c r="GC119" s="1479"/>
      <c r="GD119" s="1479"/>
      <c r="GE119" s="1479"/>
      <c r="GF119" s="1479"/>
      <c r="GG119" s="1479"/>
      <c r="GH119" s="1479"/>
    </row>
    <row r="120" spans="144:190" s="1279" customFormat="1" ht="15" customHeight="1" x14ac:dyDescent="0.25">
      <c r="EN120" s="1479"/>
      <c r="EO120" s="1479"/>
      <c r="EP120" s="1479"/>
      <c r="EQ120" s="1479"/>
      <c r="ER120" s="1479"/>
      <c r="ES120" s="1479"/>
      <c r="ET120" s="1479"/>
      <c r="EU120" s="1479"/>
      <c r="EV120" s="1479"/>
      <c r="EW120" s="1479"/>
      <c r="EX120" s="1480"/>
      <c r="EY120" s="1480"/>
      <c r="EZ120" s="1470"/>
      <c r="FA120" s="1470"/>
      <c r="FB120" s="1055"/>
      <c r="FC120" s="1055"/>
      <c r="FD120" s="1104">
        <v>42271</v>
      </c>
      <c r="FE120" s="1055">
        <v>1</v>
      </c>
      <c r="FF120" s="1055">
        <v>73.536699999999996</v>
      </c>
      <c r="FG120" s="1055"/>
      <c r="FH120" s="1055"/>
      <c r="FI120" s="1055"/>
      <c r="FJ120" s="1055"/>
      <c r="FK120" s="1055"/>
      <c r="FL120" s="1055"/>
      <c r="FM120" s="1055"/>
      <c r="FN120" s="1055"/>
      <c r="FO120" s="1055"/>
      <c r="FP120" s="1055"/>
      <c r="FQ120" s="1055"/>
      <c r="FR120" s="1055"/>
      <c r="FS120" s="1055"/>
      <c r="FT120" s="1055"/>
      <c r="FU120" s="1055"/>
      <c r="FV120" s="1055"/>
      <c r="FW120" s="1055"/>
      <c r="FX120" s="1055"/>
      <c r="FY120" s="1471"/>
      <c r="FZ120" s="1471"/>
      <c r="GA120" s="1471"/>
      <c r="GB120" s="1479"/>
      <c r="GC120" s="1479"/>
      <c r="GD120" s="1479"/>
      <c r="GE120" s="1479"/>
      <c r="GF120" s="1479"/>
      <c r="GG120" s="1479"/>
      <c r="GH120" s="1479"/>
    </row>
    <row r="121" spans="144:190" s="1279" customFormat="1" ht="15" customHeight="1" x14ac:dyDescent="0.25">
      <c r="EN121" s="1479"/>
      <c r="EO121" s="1479"/>
      <c r="EP121" s="1479"/>
      <c r="EQ121" s="1479"/>
      <c r="ER121" s="1479"/>
      <c r="ES121" s="1479"/>
      <c r="ET121" s="1479"/>
      <c r="EU121" s="1479"/>
      <c r="EV121" s="1479"/>
      <c r="EW121" s="1479"/>
      <c r="EX121" s="1480"/>
      <c r="EY121" s="1480"/>
      <c r="EZ121" s="1470"/>
      <c r="FA121" s="1470"/>
      <c r="FB121" s="1055"/>
      <c r="FC121" s="1055"/>
      <c r="FD121" s="1104">
        <v>42272</v>
      </c>
      <c r="FE121" s="1055">
        <v>1</v>
      </c>
      <c r="FF121" s="1055">
        <v>74.543499999999995</v>
      </c>
      <c r="FG121" s="1055"/>
      <c r="FH121" s="1055"/>
      <c r="FI121" s="1055"/>
      <c r="FJ121" s="1055"/>
      <c r="FK121" s="1055"/>
      <c r="FL121" s="1055"/>
      <c r="FM121" s="1055"/>
      <c r="FN121" s="1055"/>
      <c r="FO121" s="1055"/>
      <c r="FP121" s="1055"/>
      <c r="FQ121" s="1055"/>
      <c r="FR121" s="1055"/>
      <c r="FS121" s="1055"/>
      <c r="FT121" s="1055"/>
      <c r="FU121" s="1055"/>
      <c r="FV121" s="1055"/>
      <c r="FW121" s="1055"/>
      <c r="FX121" s="1055"/>
      <c r="FY121" s="1471"/>
      <c r="FZ121" s="1471"/>
      <c r="GA121" s="1471"/>
      <c r="GB121" s="1479"/>
      <c r="GC121" s="1479"/>
      <c r="GD121" s="1479"/>
      <c r="GE121" s="1479"/>
      <c r="GF121" s="1479"/>
      <c r="GG121" s="1479"/>
      <c r="GH121" s="1479"/>
    </row>
    <row r="122" spans="144:190" s="1279" customFormat="1" ht="15" customHeight="1" x14ac:dyDescent="0.25">
      <c r="EN122" s="1479"/>
      <c r="EO122" s="1479"/>
      <c r="EP122" s="1479"/>
      <c r="EQ122" s="1479"/>
      <c r="ER122" s="1479"/>
      <c r="ES122" s="1479"/>
      <c r="ET122" s="1479"/>
      <c r="EU122" s="1479"/>
      <c r="EV122" s="1479"/>
      <c r="EW122" s="1479"/>
      <c r="EX122" s="1480"/>
      <c r="EY122" s="1480"/>
      <c r="EZ122" s="1470"/>
      <c r="FA122" s="1470"/>
      <c r="FB122" s="1055"/>
      <c r="FC122" s="1055"/>
      <c r="FD122" s="1104">
        <v>42273</v>
      </c>
      <c r="FE122" s="1055">
        <v>1</v>
      </c>
      <c r="FF122" s="1055">
        <v>73.139700000000005</v>
      </c>
      <c r="FG122" s="1055"/>
      <c r="FH122" s="1055"/>
      <c r="FI122" s="1055"/>
      <c r="FJ122" s="1055"/>
      <c r="FK122" s="1055"/>
      <c r="FL122" s="1055"/>
      <c r="FM122" s="1055"/>
      <c r="FN122" s="1055"/>
      <c r="FO122" s="1055"/>
      <c r="FP122" s="1055"/>
      <c r="FQ122" s="1055"/>
      <c r="FR122" s="1055"/>
      <c r="FS122" s="1055"/>
      <c r="FT122" s="1055"/>
      <c r="FU122" s="1055"/>
      <c r="FV122" s="1055"/>
      <c r="FW122" s="1055"/>
      <c r="FX122" s="1055"/>
      <c r="FY122" s="1471"/>
      <c r="FZ122" s="1471"/>
      <c r="GA122" s="1471"/>
      <c r="GB122" s="1479"/>
      <c r="GC122" s="1479"/>
      <c r="GD122" s="1479"/>
      <c r="GE122" s="1479"/>
      <c r="GF122" s="1479"/>
      <c r="GG122" s="1479"/>
      <c r="GH122" s="1479"/>
    </row>
    <row r="123" spans="144:190" s="1279" customFormat="1" ht="15" customHeight="1" x14ac:dyDescent="0.25">
      <c r="EN123" s="1479"/>
      <c r="EO123" s="1479"/>
      <c r="EP123" s="1479"/>
      <c r="EQ123" s="1479"/>
      <c r="ER123" s="1479"/>
      <c r="ES123" s="1479"/>
      <c r="ET123" s="1479"/>
      <c r="EU123" s="1479"/>
      <c r="EV123" s="1479"/>
      <c r="EW123" s="1479"/>
      <c r="EX123" s="1480"/>
      <c r="EY123" s="1480"/>
      <c r="EZ123" s="1470"/>
      <c r="FA123" s="1470"/>
      <c r="FB123" s="1055"/>
      <c r="FC123" s="1055"/>
      <c r="FD123" s="1104">
        <v>42276</v>
      </c>
      <c r="FE123" s="1055">
        <v>1</v>
      </c>
      <c r="FF123" s="1055">
        <v>73.2684</v>
      </c>
      <c r="FG123" s="1055"/>
      <c r="FH123" s="1055"/>
      <c r="FI123" s="1055"/>
      <c r="FJ123" s="1055"/>
      <c r="FK123" s="1055"/>
      <c r="FL123" s="1055"/>
      <c r="FM123" s="1055"/>
      <c r="FN123" s="1055"/>
      <c r="FO123" s="1055"/>
      <c r="FP123" s="1055"/>
      <c r="FQ123" s="1055"/>
      <c r="FR123" s="1055"/>
      <c r="FS123" s="1055"/>
      <c r="FT123" s="1055"/>
      <c r="FU123" s="1055"/>
      <c r="FV123" s="1055"/>
      <c r="FW123" s="1055"/>
      <c r="FX123" s="1055"/>
      <c r="FY123" s="1471"/>
      <c r="FZ123" s="1471"/>
      <c r="GA123" s="1471"/>
      <c r="GB123" s="1479"/>
      <c r="GC123" s="1479"/>
      <c r="GD123" s="1479"/>
      <c r="GE123" s="1479"/>
      <c r="GF123" s="1479"/>
      <c r="GG123" s="1479"/>
      <c r="GH123" s="1479"/>
    </row>
    <row r="124" spans="144:190" s="1279" customFormat="1" ht="15" customHeight="1" x14ac:dyDescent="0.25">
      <c r="EN124" s="1479"/>
      <c r="EO124" s="1479"/>
      <c r="EP124" s="1479"/>
      <c r="EQ124" s="1479"/>
      <c r="ER124" s="1479"/>
      <c r="ES124" s="1479"/>
      <c r="ET124" s="1479"/>
      <c r="EU124" s="1479"/>
      <c r="EV124" s="1479"/>
      <c r="EW124" s="1479"/>
      <c r="EX124" s="1480"/>
      <c r="EY124" s="1480"/>
      <c r="EZ124" s="1470"/>
      <c r="FA124" s="1470"/>
      <c r="FB124" s="1055"/>
      <c r="FC124" s="1055"/>
      <c r="FD124" s="1104">
        <v>42277</v>
      </c>
      <c r="FE124" s="1055">
        <v>1</v>
      </c>
      <c r="FF124" s="1055">
        <v>74.582499999999996</v>
      </c>
      <c r="FG124" s="1055"/>
      <c r="FH124" s="1055"/>
      <c r="FI124" s="1055"/>
      <c r="FJ124" s="1055"/>
      <c r="FK124" s="1055"/>
      <c r="FL124" s="1055"/>
      <c r="FM124" s="1055"/>
      <c r="FN124" s="1055"/>
      <c r="FO124" s="1055"/>
      <c r="FP124" s="1055"/>
      <c r="FQ124" s="1055"/>
      <c r="FR124" s="1055"/>
      <c r="FS124" s="1055"/>
      <c r="FT124" s="1055"/>
      <c r="FU124" s="1055"/>
      <c r="FV124" s="1055"/>
      <c r="FW124" s="1055"/>
      <c r="FX124" s="1055"/>
      <c r="FY124" s="1471"/>
      <c r="FZ124" s="1471"/>
      <c r="GA124" s="1471"/>
      <c r="GB124" s="1479"/>
      <c r="GC124" s="1479"/>
      <c r="GD124" s="1479"/>
      <c r="GE124" s="1479"/>
      <c r="GF124" s="1479"/>
      <c r="GG124" s="1479"/>
      <c r="GH124" s="1479"/>
    </row>
    <row r="125" spans="144:190" s="1279" customFormat="1" ht="15" customHeight="1" x14ac:dyDescent="0.25">
      <c r="EN125" s="1479"/>
      <c r="EO125" s="1479"/>
      <c r="EP125" s="1479"/>
      <c r="EQ125" s="1479"/>
      <c r="ER125" s="1479"/>
      <c r="ES125" s="1479"/>
      <c r="ET125" s="1479"/>
      <c r="EU125" s="1479"/>
      <c r="EV125" s="1479"/>
      <c r="EW125" s="1479"/>
      <c r="EX125" s="1480"/>
      <c r="EY125" s="1480"/>
      <c r="EZ125" s="1470"/>
      <c r="FA125" s="1470"/>
      <c r="FB125" s="1055"/>
      <c r="FC125" s="1055"/>
      <c r="FD125" s="1104">
        <v>42278</v>
      </c>
      <c r="FE125" s="1055">
        <v>1</v>
      </c>
      <c r="FF125" s="1055">
        <v>73.775999999999996</v>
      </c>
      <c r="FG125" s="1055"/>
      <c r="FH125" s="1055"/>
      <c r="FI125" s="1055"/>
      <c r="FJ125" s="1055"/>
      <c r="FK125" s="1055"/>
      <c r="FL125" s="1055"/>
      <c r="FM125" s="1055"/>
      <c r="FN125" s="1055"/>
      <c r="FO125" s="1055"/>
      <c r="FP125" s="1055"/>
      <c r="FQ125" s="1055"/>
      <c r="FR125" s="1055"/>
      <c r="FS125" s="1055"/>
      <c r="FT125" s="1055"/>
      <c r="FU125" s="1055"/>
      <c r="FV125" s="1055"/>
      <c r="FW125" s="1055"/>
      <c r="FX125" s="1055"/>
      <c r="FY125" s="1471"/>
      <c r="FZ125" s="1471"/>
      <c r="GA125" s="1471"/>
      <c r="GB125" s="1479"/>
      <c r="GC125" s="1479"/>
      <c r="GD125" s="1479"/>
      <c r="GE125" s="1479"/>
      <c r="GF125" s="1479"/>
      <c r="GG125" s="1479"/>
      <c r="GH125" s="1479"/>
    </row>
    <row r="126" spans="144:190" s="1279" customFormat="1" ht="15" customHeight="1" x14ac:dyDescent="0.25">
      <c r="EN126" s="1479"/>
      <c r="EO126" s="1479"/>
      <c r="EP126" s="1479"/>
      <c r="EQ126" s="1479"/>
      <c r="ER126" s="1479"/>
      <c r="ES126" s="1479"/>
      <c r="ET126" s="1479"/>
      <c r="EU126" s="1479"/>
      <c r="EV126" s="1479"/>
      <c r="EW126" s="1479"/>
      <c r="EX126" s="1480"/>
      <c r="EY126" s="1480"/>
      <c r="EZ126" s="1470"/>
      <c r="FA126" s="1470"/>
      <c r="FB126" s="1055"/>
      <c r="FC126" s="1055"/>
      <c r="FD126" s="1104">
        <v>42279</v>
      </c>
      <c r="FE126" s="1055">
        <v>1</v>
      </c>
      <c r="FF126" s="1055">
        <v>72.486500000000007</v>
      </c>
      <c r="FG126" s="1055"/>
      <c r="FH126" s="1055"/>
      <c r="FI126" s="1055"/>
      <c r="FJ126" s="1055"/>
      <c r="FK126" s="1055"/>
      <c r="FL126" s="1055"/>
      <c r="FM126" s="1055"/>
      <c r="FN126" s="1055"/>
      <c r="FO126" s="1055"/>
      <c r="FP126" s="1055"/>
      <c r="FQ126" s="1055"/>
      <c r="FR126" s="1055"/>
      <c r="FS126" s="1055"/>
      <c r="FT126" s="1055"/>
      <c r="FU126" s="1055"/>
      <c r="FV126" s="1055"/>
      <c r="FW126" s="1055"/>
      <c r="FX126" s="1055"/>
      <c r="FY126" s="1471"/>
      <c r="FZ126" s="1471"/>
      <c r="GA126" s="1471"/>
      <c r="GB126" s="1479"/>
      <c r="GC126" s="1479"/>
      <c r="GD126" s="1479"/>
      <c r="GE126" s="1479"/>
      <c r="GF126" s="1479"/>
      <c r="GG126" s="1479"/>
      <c r="GH126" s="1479"/>
    </row>
    <row r="127" spans="144:190" s="1279" customFormat="1" ht="15" customHeight="1" x14ac:dyDescent="0.25">
      <c r="EN127" s="1479"/>
      <c r="EO127" s="1479"/>
      <c r="EP127" s="1479"/>
      <c r="EQ127" s="1479"/>
      <c r="ER127" s="1479"/>
      <c r="ES127" s="1479"/>
      <c r="ET127" s="1479"/>
      <c r="EU127" s="1479"/>
      <c r="EV127" s="1479"/>
      <c r="EW127" s="1479"/>
      <c r="EX127" s="1480"/>
      <c r="EY127" s="1480"/>
      <c r="EZ127" s="1470"/>
      <c r="FA127" s="1470"/>
      <c r="FB127" s="1055"/>
      <c r="FC127" s="1055"/>
      <c r="FD127" s="1104">
        <v>42280</v>
      </c>
      <c r="FE127" s="1055">
        <v>1</v>
      </c>
      <c r="FF127" s="1055">
        <v>73.630200000000002</v>
      </c>
      <c r="FG127" s="1055"/>
      <c r="FH127" s="1055"/>
      <c r="FI127" s="1055"/>
      <c r="FJ127" s="1055"/>
      <c r="FK127" s="1055"/>
      <c r="FL127" s="1055"/>
      <c r="FM127" s="1055"/>
      <c r="FN127" s="1055"/>
      <c r="FO127" s="1055"/>
      <c r="FP127" s="1055"/>
      <c r="FQ127" s="1055"/>
      <c r="FR127" s="1055"/>
      <c r="FS127" s="1055"/>
      <c r="FT127" s="1055"/>
      <c r="FU127" s="1055"/>
      <c r="FV127" s="1055"/>
      <c r="FW127" s="1055"/>
      <c r="FX127" s="1055"/>
      <c r="FY127" s="1471"/>
      <c r="FZ127" s="1471"/>
      <c r="GA127" s="1471"/>
      <c r="GB127" s="1479"/>
      <c r="GC127" s="1479"/>
      <c r="GD127" s="1479"/>
      <c r="GE127" s="1479"/>
      <c r="GF127" s="1479"/>
      <c r="GG127" s="1479"/>
      <c r="GH127" s="1479"/>
    </row>
    <row r="128" spans="144:190" s="1279" customFormat="1" ht="15" customHeight="1" x14ac:dyDescent="0.25">
      <c r="EN128" s="1479"/>
      <c r="EO128" s="1479"/>
      <c r="EP128" s="1479"/>
      <c r="EQ128" s="1479"/>
      <c r="ER128" s="1479"/>
      <c r="ES128" s="1479"/>
      <c r="ET128" s="1479"/>
      <c r="EU128" s="1479"/>
      <c r="EV128" s="1479"/>
      <c r="EW128" s="1479"/>
      <c r="EX128" s="1480"/>
      <c r="EY128" s="1480"/>
      <c r="EZ128" s="1470"/>
      <c r="FA128" s="1470"/>
      <c r="FB128" s="1055"/>
      <c r="FC128" s="1055"/>
      <c r="FD128" s="1104">
        <v>42283</v>
      </c>
      <c r="FE128" s="1055">
        <v>1</v>
      </c>
      <c r="FF128" s="1055">
        <v>73.795100000000005</v>
      </c>
      <c r="FG128" s="1055"/>
      <c r="FH128" s="1055"/>
      <c r="FI128" s="1055"/>
      <c r="FJ128" s="1055"/>
      <c r="FK128" s="1055"/>
      <c r="FL128" s="1055"/>
      <c r="FM128" s="1055"/>
      <c r="FN128" s="1055"/>
      <c r="FO128" s="1055"/>
      <c r="FP128" s="1055"/>
      <c r="FQ128" s="1055"/>
      <c r="FR128" s="1055"/>
      <c r="FS128" s="1055"/>
      <c r="FT128" s="1055"/>
      <c r="FU128" s="1055"/>
      <c r="FV128" s="1055"/>
      <c r="FW128" s="1055"/>
      <c r="FX128" s="1055"/>
      <c r="FY128" s="1471"/>
      <c r="FZ128" s="1471"/>
      <c r="GA128" s="1471"/>
      <c r="GB128" s="1479"/>
      <c r="GC128" s="1479"/>
      <c r="GD128" s="1479"/>
      <c r="GE128" s="1479"/>
      <c r="GF128" s="1479"/>
      <c r="GG128" s="1479"/>
      <c r="GH128" s="1479"/>
    </row>
    <row r="129" spans="144:190" s="1294" customFormat="1" ht="15" customHeight="1" x14ac:dyDescent="0.25">
      <c r="EN129" s="1481"/>
      <c r="EO129" s="1481"/>
      <c r="EP129" s="1481"/>
      <c r="EQ129" s="1481"/>
      <c r="ER129" s="1481"/>
      <c r="ES129" s="1481"/>
      <c r="ET129" s="1481"/>
      <c r="EU129" s="1481"/>
      <c r="EV129" s="1481"/>
      <c r="EW129" s="1481"/>
      <c r="EX129" s="1482"/>
      <c r="EY129" s="1482"/>
      <c r="EZ129" s="1483"/>
      <c r="FA129" s="1483"/>
      <c r="FB129" s="1293"/>
      <c r="FC129" s="1293"/>
      <c r="FD129" s="1104">
        <v>42284</v>
      </c>
      <c r="FE129" s="1055">
        <v>1</v>
      </c>
      <c r="FF129" s="1055">
        <v>72.946799999999996</v>
      </c>
      <c r="FG129" s="1293"/>
      <c r="FH129" s="1293"/>
      <c r="FI129" s="1293"/>
      <c r="FJ129" s="1293"/>
      <c r="FK129" s="1293"/>
      <c r="FL129" s="1293"/>
      <c r="FM129" s="1293"/>
      <c r="FN129" s="1293"/>
      <c r="FO129" s="1293"/>
      <c r="FP129" s="1293"/>
      <c r="FQ129" s="1293"/>
      <c r="FR129" s="1293"/>
      <c r="FS129" s="1293"/>
      <c r="FT129" s="1293"/>
      <c r="FU129" s="1293"/>
      <c r="FV129" s="1293"/>
      <c r="FW129" s="1293"/>
      <c r="FX129" s="1293"/>
      <c r="FY129" s="1484"/>
      <c r="FZ129" s="1484"/>
      <c r="GA129" s="1484"/>
      <c r="GB129" s="1481"/>
      <c r="GC129" s="1481"/>
      <c r="GD129" s="1481"/>
      <c r="GE129" s="1481"/>
      <c r="GF129" s="1481"/>
      <c r="GG129" s="1481"/>
      <c r="GH129" s="1481"/>
    </row>
    <row r="130" spans="144:190" s="1294" customFormat="1" ht="15" customHeight="1" x14ac:dyDescent="0.25">
      <c r="EN130" s="1481"/>
      <c r="EO130" s="1481"/>
      <c r="EP130" s="1481"/>
      <c r="EQ130" s="1481"/>
      <c r="ER130" s="1481"/>
      <c r="ES130" s="1481"/>
      <c r="ET130" s="1481"/>
      <c r="EU130" s="1481"/>
      <c r="EV130" s="1481"/>
      <c r="EW130" s="1481"/>
      <c r="EX130" s="1482"/>
      <c r="EY130" s="1482"/>
      <c r="EZ130" s="1483"/>
      <c r="FA130" s="1483"/>
      <c r="FB130" s="1293"/>
      <c r="FC130" s="1293"/>
      <c r="FD130" s="1104">
        <v>42285</v>
      </c>
      <c r="FE130" s="1055">
        <v>1</v>
      </c>
      <c r="FF130" s="1055">
        <v>70.469099999999997</v>
      </c>
      <c r="FG130" s="1293"/>
      <c r="FH130" s="1293"/>
      <c r="FI130" s="1293"/>
      <c r="FJ130" s="1293"/>
      <c r="FK130" s="1293"/>
      <c r="FL130" s="1293"/>
      <c r="FM130" s="1293"/>
      <c r="FN130" s="1293"/>
      <c r="FO130" s="1293"/>
      <c r="FP130" s="1293"/>
      <c r="FQ130" s="1293"/>
      <c r="FR130" s="1293"/>
      <c r="FS130" s="1293"/>
      <c r="FT130" s="1293"/>
      <c r="FU130" s="1293"/>
      <c r="FV130" s="1293"/>
      <c r="FW130" s="1293"/>
      <c r="FX130" s="1293"/>
      <c r="FY130" s="1484"/>
      <c r="FZ130" s="1484"/>
      <c r="GA130" s="1484"/>
      <c r="GB130" s="1481"/>
      <c r="GC130" s="1481"/>
      <c r="GD130" s="1481"/>
      <c r="GE130" s="1481"/>
      <c r="GF130" s="1481"/>
      <c r="GG130" s="1481"/>
      <c r="GH130" s="1481"/>
    </row>
    <row r="131" spans="144:190" s="1294" customFormat="1" ht="15" customHeight="1" x14ac:dyDescent="0.25">
      <c r="EN131" s="1481"/>
      <c r="EO131" s="1481"/>
      <c r="EP131" s="1481"/>
      <c r="EQ131" s="1481"/>
      <c r="ER131" s="1481"/>
      <c r="ES131" s="1481"/>
      <c r="ET131" s="1481"/>
      <c r="EU131" s="1481"/>
      <c r="EV131" s="1481"/>
      <c r="EW131" s="1481"/>
      <c r="EX131" s="1482"/>
      <c r="EY131" s="1482"/>
      <c r="EZ131" s="1483"/>
      <c r="FA131" s="1483"/>
      <c r="FB131" s="1293"/>
      <c r="FC131" s="1293"/>
      <c r="FD131" s="1104">
        <v>42286</v>
      </c>
      <c r="FE131" s="1055">
        <v>1</v>
      </c>
      <c r="FF131" s="1055">
        <v>70.305199999999999</v>
      </c>
      <c r="FG131" s="1293"/>
      <c r="FH131" s="1293"/>
      <c r="FI131" s="1293"/>
      <c r="FJ131" s="1293"/>
      <c r="FK131" s="1293"/>
      <c r="FL131" s="1293"/>
      <c r="FM131" s="1293"/>
      <c r="FN131" s="1293"/>
      <c r="FO131" s="1293"/>
      <c r="FP131" s="1293"/>
      <c r="FQ131" s="1293"/>
      <c r="FR131" s="1293"/>
      <c r="FS131" s="1293"/>
      <c r="FT131" s="1293"/>
      <c r="FU131" s="1293"/>
      <c r="FV131" s="1293"/>
      <c r="FW131" s="1293"/>
      <c r="FX131" s="1293"/>
      <c r="FY131" s="1484"/>
      <c r="FZ131" s="1484"/>
      <c r="GA131" s="1484"/>
      <c r="GB131" s="1481"/>
      <c r="GC131" s="1481"/>
      <c r="GD131" s="1481"/>
      <c r="GE131" s="1481"/>
      <c r="GF131" s="1481"/>
      <c r="GG131" s="1481"/>
      <c r="GH131" s="1481"/>
    </row>
    <row r="132" spans="144:190" s="1294" customFormat="1" ht="15" customHeight="1" x14ac:dyDescent="0.25">
      <c r="EN132" s="1481"/>
      <c r="EO132" s="1481"/>
      <c r="EP132" s="1481"/>
      <c r="EQ132" s="1481"/>
      <c r="ER132" s="1481"/>
      <c r="ES132" s="1481"/>
      <c r="ET132" s="1481"/>
      <c r="EU132" s="1481"/>
      <c r="EV132" s="1481"/>
      <c r="EW132" s="1481"/>
      <c r="EX132" s="1482"/>
      <c r="EY132" s="1482"/>
      <c r="EZ132" s="1483"/>
      <c r="FA132" s="1483"/>
      <c r="FB132" s="1293"/>
      <c r="FC132" s="1293"/>
      <c r="FD132" s="1104">
        <v>42287</v>
      </c>
      <c r="FE132" s="1055">
        <v>1</v>
      </c>
      <c r="FF132" s="1055">
        <v>69.344999999999999</v>
      </c>
      <c r="FG132" s="1293"/>
      <c r="FH132" s="1293"/>
      <c r="FI132" s="1293"/>
      <c r="FJ132" s="1293"/>
      <c r="FK132" s="1293"/>
      <c r="FL132" s="1293"/>
      <c r="FM132" s="1293"/>
      <c r="FN132" s="1293"/>
      <c r="FO132" s="1293"/>
      <c r="FP132" s="1293"/>
      <c r="FQ132" s="1293"/>
      <c r="FR132" s="1293"/>
      <c r="FS132" s="1293"/>
      <c r="FT132" s="1293"/>
      <c r="FU132" s="1293"/>
      <c r="FV132" s="1293"/>
      <c r="FW132" s="1293"/>
      <c r="FX132" s="1293"/>
      <c r="FY132" s="1484"/>
      <c r="FZ132" s="1484"/>
      <c r="GA132" s="1484"/>
      <c r="GB132" s="1481"/>
      <c r="GC132" s="1481"/>
      <c r="GD132" s="1481"/>
      <c r="GE132" s="1481"/>
      <c r="GF132" s="1481"/>
      <c r="GG132" s="1481"/>
      <c r="GH132" s="1481"/>
    </row>
    <row r="133" spans="144:190" s="1294" customFormat="1" ht="15" customHeight="1" x14ac:dyDescent="0.25">
      <c r="EN133" s="1481"/>
      <c r="EO133" s="1481"/>
      <c r="EP133" s="1481"/>
      <c r="EQ133" s="1481"/>
      <c r="ER133" s="1481"/>
      <c r="ES133" s="1481"/>
      <c r="ET133" s="1481"/>
      <c r="EU133" s="1481"/>
      <c r="EV133" s="1481"/>
      <c r="EW133" s="1481"/>
      <c r="EX133" s="1482"/>
      <c r="EY133" s="1482"/>
      <c r="EZ133" s="1483"/>
      <c r="FA133" s="1483"/>
      <c r="FB133" s="1293"/>
      <c r="FC133" s="1293"/>
      <c r="FD133" s="1104">
        <v>42290</v>
      </c>
      <c r="FE133" s="1055">
        <v>1</v>
      </c>
      <c r="FF133" s="1055">
        <v>69.549899999999994</v>
      </c>
      <c r="FG133" s="1293"/>
      <c r="FH133" s="1293"/>
      <c r="FI133" s="1293"/>
      <c r="FJ133" s="1293"/>
      <c r="FK133" s="1293"/>
      <c r="FL133" s="1293"/>
      <c r="FM133" s="1293"/>
      <c r="FN133" s="1293"/>
      <c r="FO133" s="1293"/>
      <c r="FP133" s="1293"/>
      <c r="FQ133" s="1293"/>
      <c r="FR133" s="1293"/>
      <c r="FS133" s="1293"/>
      <c r="FT133" s="1293"/>
      <c r="FU133" s="1293"/>
      <c r="FV133" s="1293"/>
      <c r="FW133" s="1293"/>
      <c r="FX133" s="1293"/>
      <c r="FY133" s="1484"/>
      <c r="FZ133" s="1484"/>
      <c r="GA133" s="1484"/>
      <c r="GB133" s="1481"/>
      <c r="GC133" s="1481"/>
      <c r="GD133" s="1481"/>
      <c r="GE133" s="1481"/>
      <c r="GF133" s="1481"/>
      <c r="GG133" s="1481"/>
      <c r="GH133" s="1481"/>
    </row>
    <row r="134" spans="144:190" s="1294" customFormat="1" ht="15" customHeight="1" x14ac:dyDescent="0.25">
      <c r="EN134" s="1481"/>
      <c r="EO134" s="1481"/>
      <c r="EP134" s="1481"/>
      <c r="EQ134" s="1481"/>
      <c r="ER134" s="1481"/>
      <c r="ES134" s="1481"/>
      <c r="ET134" s="1481"/>
      <c r="EU134" s="1481"/>
      <c r="EV134" s="1481"/>
      <c r="EW134" s="1481"/>
      <c r="EX134" s="1482"/>
      <c r="EY134" s="1482"/>
      <c r="EZ134" s="1483"/>
      <c r="FA134" s="1483"/>
      <c r="FB134" s="1293"/>
      <c r="FC134" s="1293"/>
      <c r="FD134" s="1104">
        <v>42291</v>
      </c>
      <c r="FE134" s="1055">
        <v>1</v>
      </c>
      <c r="FF134" s="1055">
        <v>70.8977</v>
      </c>
      <c r="FG134" s="1293"/>
      <c r="FH134" s="1293"/>
      <c r="FI134" s="1293"/>
      <c r="FJ134" s="1293"/>
      <c r="FK134" s="1293"/>
      <c r="FL134" s="1293"/>
      <c r="FM134" s="1293"/>
      <c r="FN134" s="1293"/>
      <c r="FO134" s="1293"/>
      <c r="FP134" s="1293"/>
      <c r="FQ134" s="1293"/>
      <c r="FR134" s="1293"/>
      <c r="FS134" s="1293"/>
      <c r="FT134" s="1293"/>
      <c r="FU134" s="1293"/>
      <c r="FV134" s="1293"/>
      <c r="FW134" s="1293"/>
      <c r="FX134" s="1293"/>
      <c r="FY134" s="1484"/>
      <c r="FZ134" s="1484"/>
      <c r="GA134" s="1484"/>
      <c r="GB134" s="1481"/>
      <c r="GC134" s="1481"/>
      <c r="GD134" s="1481"/>
      <c r="GE134" s="1481"/>
      <c r="GF134" s="1481"/>
      <c r="GG134" s="1481"/>
      <c r="GH134" s="1481"/>
    </row>
    <row r="135" spans="144:190" s="1294" customFormat="1" ht="15" customHeight="1" x14ac:dyDescent="0.25">
      <c r="EN135" s="1481"/>
      <c r="EO135" s="1481"/>
      <c r="EP135" s="1481"/>
      <c r="EQ135" s="1481"/>
      <c r="ER135" s="1481"/>
      <c r="ES135" s="1481"/>
      <c r="ET135" s="1481"/>
      <c r="EU135" s="1481"/>
      <c r="EV135" s="1481"/>
      <c r="EW135" s="1481"/>
      <c r="EX135" s="1482"/>
      <c r="EY135" s="1482"/>
      <c r="EZ135" s="1483"/>
      <c r="FA135" s="1483"/>
      <c r="FB135" s="1293"/>
      <c r="FC135" s="1293"/>
      <c r="FD135" s="1104">
        <v>42292</v>
      </c>
      <c r="FE135" s="1055">
        <v>1</v>
      </c>
      <c r="FF135" s="1055">
        <v>72.050600000000003</v>
      </c>
      <c r="FG135" s="1293"/>
      <c r="FH135" s="1293"/>
      <c r="FI135" s="1293"/>
      <c r="FJ135" s="1293"/>
      <c r="FK135" s="1293"/>
      <c r="FL135" s="1293"/>
      <c r="FM135" s="1293"/>
      <c r="FN135" s="1293"/>
      <c r="FO135" s="1293"/>
      <c r="FP135" s="1293"/>
      <c r="FQ135" s="1293"/>
      <c r="FR135" s="1293"/>
      <c r="FS135" s="1293"/>
      <c r="FT135" s="1293"/>
      <c r="FU135" s="1293"/>
      <c r="FV135" s="1293"/>
      <c r="FW135" s="1293"/>
      <c r="FX135" s="1293"/>
      <c r="FY135" s="1484"/>
      <c r="FZ135" s="1484"/>
      <c r="GA135" s="1484"/>
      <c r="GB135" s="1481"/>
      <c r="GC135" s="1481"/>
      <c r="GD135" s="1481"/>
      <c r="GE135" s="1481"/>
      <c r="GF135" s="1481"/>
      <c r="GG135" s="1481"/>
      <c r="GH135" s="1481"/>
    </row>
    <row r="136" spans="144:190" s="1294" customFormat="1" ht="15" customHeight="1" x14ac:dyDescent="0.25">
      <c r="EN136" s="1481"/>
      <c r="EO136" s="1481"/>
      <c r="EP136" s="1481"/>
      <c r="EQ136" s="1481"/>
      <c r="ER136" s="1481"/>
      <c r="ES136" s="1481"/>
      <c r="ET136" s="1481"/>
      <c r="EU136" s="1481"/>
      <c r="EV136" s="1481"/>
      <c r="EW136" s="1481"/>
      <c r="EX136" s="1482"/>
      <c r="EY136" s="1482"/>
      <c r="EZ136" s="1483"/>
      <c r="FA136" s="1483"/>
      <c r="FB136" s="1293"/>
      <c r="FC136" s="1293"/>
      <c r="FD136" s="1104">
        <v>42293</v>
      </c>
      <c r="FE136" s="1055">
        <v>1</v>
      </c>
      <c r="FF136" s="1055">
        <v>71.281000000000006</v>
      </c>
      <c r="FG136" s="1293"/>
      <c r="FH136" s="1293"/>
      <c r="FI136" s="1293"/>
      <c r="FJ136" s="1293"/>
      <c r="FK136" s="1293"/>
      <c r="FL136" s="1293"/>
      <c r="FM136" s="1293"/>
      <c r="FN136" s="1293"/>
      <c r="FO136" s="1293"/>
      <c r="FP136" s="1293"/>
      <c r="FQ136" s="1293"/>
      <c r="FR136" s="1293"/>
      <c r="FS136" s="1293"/>
      <c r="FT136" s="1293"/>
      <c r="FU136" s="1293"/>
      <c r="FV136" s="1293"/>
      <c r="FW136" s="1293"/>
      <c r="FX136" s="1293"/>
      <c r="FY136" s="1484"/>
      <c r="FZ136" s="1484"/>
      <c r="GA136" s="1484"/>
      <c r="GB136" s="1481"/>
      <c r="GC136" s="1481"/>
      <c r="GD136" s="1481"/>
      <c r="GE136" s="1481"/>
      <c r="GF136" s="1481"/>
      <c r="GG136" s="1481"/>
      <c r="GH136" s="1481"/>
    </row>
    <row r="137" spans="144:190" s="1294" customFormat="1" ht="15" customHeight="1" x14ac:dyDescent="0.25">
      <c r="EN137" s="1481"/>
      <c r="EO137" s="1481"/>
      <c r="EP137" s="1481"/>
      <c r="EQ137" s="1481"/>
      <c r="ER137" s="1481"/>
      <c r="ES137" s="1481"/>
      <c r="ET137" s="1481"/>
      <c r="EU137" s="1481"/>
      <c r="EV137" s="1481"/>
      <c r="EW137" s="1481"/>
      <c r="EX137" s="1482"/>
      <c r="EY137" s="1482"/>
      <c r="EZ137" s="1483"/>
      <c r="FA137" s="1483"/>
      <c r="FB137" s="1293"/>
      <c r="FC137" s="1293"/>
      <c r="FD137" s="1104">
        <v>42294</v>
      </c>
      <c r="FE137" s="1055">
        <v>1</v>
      </c>
      <c r="FF137" s="1055">
        <v>69.771000000000001</v>
      </c>
      <c r="FG137" s="1293"/>
      <c r="FH137" s="1293"/>
      <c r="FI137" s="1293"/>
      <c r="FJ137" s="1293"/>
      <c r="FK137" s="1293"/>
      <c r="FL137" s="1293"/>
      <c r="FM137" s="1293"/>
      <c r="FN137" s="1293"/>
      <c r="FO137" s="1293"/>
      <c r="FP137" s="1293"/>
      <c r="FQ137" s="1293"/>
      <c r="FR137" s="1293"/>
      <c r="FS137" s="1293"/>
      <c r="FT137" s="1293"/>
      <c r="FU137" s="1293"/>
      <c r="FV137" s="1293"/>
      <c r="FW137" s="1293"/>
      <c r="FX137" s="1293"/>
      <c r="FY137" s="1484"/>
      <c r="FZ137" s="1484"/>
      <c r="GA137" s="1484"/>
      <c r="GB137" s="1481"/>
      <c r="GC137" s="1481"/>
      <c r="GD137" s="1481"/>
      <c r="GE137" s="1481"/>
      <c r="GF137" s="1481"/>
      <c r="GG137" s="1481"/>
      <c r="GH137" s="1481"/>
    </row>
    <row r="138" spans="144:190" s="1294" customFormat="1" ht="15" customHeight="1" x14ac:dyDescent="0.25">
      <c r="EN138" s="1481"/>
      <c r="EO138" s="1481"/>
      <c r="EP138" s="1481"/>
      <c r="EQ138" s="1481"/>
      <c r="ER138" s="1481"/>
      <c r="ES138" s="1481"/>
      <c r="ET138" s="1481"/>
      <c r="EU138" s="1481"/>
      <c r="EV138" s="1481"/>
      <c r="EW138" s="1481"/>
      <c r="EX138" s="1482"/>
      <c r="EY138" s="1482"/>
      <c r="EZ138" s="1483"/>
      <c r="FA138" s="1483"/>
      <c r="FB138" s="1293"/>
      <c r="FC138" s="1293"/>
      <c r="FD138" s="1104">
        <v>42297</v>
      </c>
      <c r="FE138" s="1055">
        <v>1</v>
      </c>
      <c r="FF138" s="1055">
        <v>69.779600000000002</v>
      </c>
      <c r="FG138" s="1293"/>
      <c r="FH138" s="1293"/>
      <c r="FI138" s="1293"/>
      <c r="FJ138" s="1293"/>
      <c r="FK138" s="1293"/>
      <c r="FL138" s="1293"/>
      <c r="FM138" s="1293"/>
      <c r="FN138" s="1293"/>
      <c r="FO138" s="1293"/>
      <c r="FP138" s="1293"/>
      <c r="FQ138" s="1293"/>
      <c r="FR138" s="1293"/>
      <c r="FS138" s="1293"/>
      <c r="FT138" s="1293"/>
      <c r="FU138" s="1293"/>
      <c r="FV138" s="1293"/>
      <c r="FW138" s="1293"/>
      <c r="FX138" s="1293"/>
      <c r="FY138" s="1484"/>
      <c r="FZ138" s="1484"/>
      <c r="GA138" s="1484"/>
      <c r="GB138" s="1481"/>
      <c r="GC138" s="1481"/>
      <c r="GD138" s="1481"/>
      <c r="GE138" s="1481"/>
      <c r="GF138" s="1481"/>
      <c r="GG138" s="1481"/>
      <c r="GH138" s="1481"/>
    </row>
    <row r="139" spans="144:190" s="1294" customFormat="1" x14ac:dyDescent="0.15">
      <c r="EN139" s="1481"/>
      <c r="EO139" s="1481"/>
      <c r="EP139" s="1481"/>
      <c r="EQ139" s="1481"/>
      <c r="ER139" s="1481"/>
      <c r="ES139" s="1481"/>
      <c r="ET139" s="1481"/>
      <c r="EU139" s="1481"/>
      <c r="EV139" s="1481"/>
      <c r="EW139" s="1481"/>
      <c r="EX139" s="1482"/>
      <c r="EY139" s="1482"/>
      <c r="EZ139" s="1483"/>
      <c r="FA139" s="1483"/>
      <c r="FB139" s="1293"/>
      <c r="FC139" s="1293"/>
      <c r="FD139" s="1459">
        <v>42298</v>
      </c>
      <c r="FE139" s="1458">
        <v>1</v>
      </c>
      <c r="FF139" s="1458">
        <v>70.528999999999996</v>
      </c>
      <c r="FG139" s="1293"/>
      <c r="FH139" s="1293"/>
      <c r="FI139" s="1293"/>
      <c r="FJ139" s="1293"/>
      <c r="FK139" s="1293"/>
      <c r="FL139" s="1293"/>
      <c r="FM139" s="1293"/>
      <c r="FN139" s="1293"/>
      <c r="FO139" s="1293"/>
      <c r="FP139" s="1293"/>
      <c r="FQ139" s="1293"/>
      <c r="FR139" s="1293"/>
      <c r="FS139" s="1293"/>
      <c r="FT139" s="1293"/>
      <c r="FU139" s="1293"/>
      <c r="FV139" s="1293"/>
      <c r="FW139" s="1293"/>
      <c r="FX139" s="1293"/>
      <c r="FY139" s="1484"/>
      <c r="FZ139" s="1484"/>
      <c r="GA139" s="1484"/>
      <c r="GB139" s="1481"/>
      <c r="GC139" s="1481"/>
      <c r="GD139" s="1481"/>
      <c r="GE139" s="1481"/>
      <c r="GF139" s="1481"/>
      <c r="GG139" s="1481"/>
      <c r="GH139" s="1481"/>
    </row>
    <row r="140" spans="144:190" s="1294" customFormat="1" x14ac:dyDescent="0.15">
      <c r="EN140" s="1481"/>
      <c r="EO140" s="1481"/>
      <c r="EP140" s="1481"/>
      <c r="EQ140" s="1481"/>
      <c r="ER140" s="1481"/>
      <c r="ES140" s="1481"/>
      <c r="ET140" s="1481"/>
      <c r="EU140" s="1481"/>
      <c r="EV140" s="1481"/>
      <c r="EW140" s="1481"/>
      <c r="EX140" s="1482"/>
      <c r="EY140" s="1482"/>
      <c r="EZ140" s="1483"/>
      <c r="FA140" s="1483"/>
      <c r="FB140" s="1293"/>
      <c r="FC140" s="1293"/>
      <c r="FD140" s="1459">
        <v>42299</v>
      </c>
      <c r="FE140" s="1458">
        <v>1</v>
      </c>
      <c r="FF140" s="1458">
        <v>71.1738</v>
      </c>
      <c r="FG140" s="1293"/>
      <c r="FH140" s="1293"/>
      <c r="FI140" s="1293"/>
      <c r="FJ140" s="1293"/>
      <c r="FK140" s="1293"/>
      <c r="FL140" s="1293"/>
      <c r="FM140" s="1293"/>
      <c r="FN140" s="1293"/>
      <c r="FO140" s="1293"/>
      <c r="FP140" s="1293"/>
      <c r="FQ140" s="1293"/>
      <c r="FR140" s="1293"/>
      <c r="FS140" s="1293"/>
      <c r="FT140" s="1293"/>
      <c r="FU140" s="1293"/>
      <c r="FV140" s="1293"/>
      <c r="FW140" s="1293"/>
      <c r="FX140" s="1293"/>
      <c r="FY140" s="1484"/>
      <c r="FZ140" s="1484"/>
      <c r="GA140" s="1484"/>
      <c r="GB140" s="1481"/>
      <c r="GC140" s="1481"/>
      <c r="GD140" s="1481"/>
      <c r="GE140" s="1481"/>
      <c r="GF140" s="1481"/>
      <c r="GG140" s="1481"/>
      <c r="GH140" s="1481"/>
    </row>
    <row r="141" spans="144:190" s="1294" customFormat="1" x14ac:dyDescent="0.15">
      <c r="EN141" s="1481"/>
      <c r="EO141" s="1481"/>
      <c r="EP141" s="1481"/>
      <c r="EQ141" s="1481"/>
      <c r="ER141" s="1481"/>
      <c r="ES141" s="1481"/>
      <c r="ET141" s="1481"/>
      <c r="EU141" s="1481"/>
      <c r="EV141" s="1481"/>
      <c r="EW141" s="1481"/>
      <c r="EX141" s="1482"/>
      <c r="EY141" s="1482"/>
      <c r="EZ141" s="1483"/>
      <c r="FA141" s="1483"/>
      <c r="FB141" s="1293"/>
      <c r="FC141" s="1293"/>
      <c r="FD141" s="1459">
        <v>42300</v>
      </c>
      <c r="FE141" s="1458">
        <v>1</v>
      </c>
      <c r="FF141" s="1458">
        <v>71.089500000000001</v>
      </c>
      <c r="FG141" s="1293"/>
      <c r="FH141" s="1293"/>
      <c r="FI141" s="1293"/>
      <c r="FJ141" s="1293"/>
      <c r="FK141" s="1293"/>
      <c r="FL141" s="1293"/>
      <c r="FM141" s="1293"/>
      <c r="FN141" s="1293"/>
      <c r="FO141" s="1293"/>
      <c r="FP141" s="1293"/>
      <c r="FQ141" s="1293"/>
      <c r="FR141" s="1293"/>
      <c r="FS141" s="1293"/>
      <c r="FT141" s="1293"/>
      <c r="FU141" s="1293"/>
      <c r="FV141" s="1293"/>
      <c r="FW141" s="1293"/>
      <c r="FX141" s="1293"/>
      <c r="FY141" s="1484"/>
      <c r="FZ141" s="1484"/>
      <c r="GA141" s="1484"/>
      <c r="GB141" s="1481"/>
      <c r="GC141" s="1481"/>
      <c r="GD141" s="1481"/>
      <c r="GE141" s="1481"/>
      <c r="GF141" s="1481"/>
      <c r="GG141" s="1481"/>
      <c r="GH141" s="1481"/>
    </row>
    <row r="142" spans="144:190" s="1294" customFormat="1" x14ac:dyDescent="0.15">
      <c r="EN142" s="1481"/>
      <c r="EO142" s="1481"/>
      <c r="EP142" s="1481"/>
      <c r="EQ142" s="1481"/>
      <c r="ER142" s="1481"/>
      <c r="ES142" s="1481"/>
      <c r="ET142" s="1481"/>
      <c r="EU142" s="1481"/>
      <c r="EV142" s="1481"/>
      <c r="EW142" s="1481"/>
      <c r="EX142" s="1482"/>
      <c r="EY142" s="1482"/>
      <c r="EZ142" s="1483"/>
      <c r="FA142" s="1483"/>
      <c r="FB142" s="1293"/>
      <c r="FC142" s="1293"/>
      <c r="FD142" s="1459">
        <v>42301</v>
      </c>
      <c r="FE142" s="1458">
        <v>1</v>
      </c>
      <c r="FF142" s="1458">
        <v>68.790300000000002</v>
      </c>
      <c r="FG142" s="1293"/>
      <c r="FH142" s="1293"/>
      <c r="FI142" s="1293"/>
      <c r="FJ142" s="1293"/>
      <c r="FK142" s="1293"/>
      <c r="FL142" s="1293"/>
      <c r="FM142" s="1293"/>
      <c r="FN142" s="1293"/>
      <c r="FO142" s="1293"/>
      <c r="FP142" s="1293"/>
      <c r="FQ142" s="1293"/>
      <c r="FR142" s="1293"/>
      <c r="FS142" s="1293"/>
      <c r="FT142" s="1293"/>
      <c r="FU142" s="1293"/>
      <c r="FV142" s="1293"/>
      <c r="FW142" s="1293"/>
      <c r="FX142" s="1293"/>
      <c r="FY142" s="1484"/>
      <c r="FZ142" s="1484"/>
      <c r="GA142" s="1484"/>
      <c r="GB142" s="1481"/>
      <c r="GC142" s="1481"/>
      <c r="GD142" s="1481"/>
      <c r="GE142" s="1481"/>
      <c r="GF142" s="1481"/>
      <c r="GG142" s="1481"/>
      <c r="GH142" s="1481"/>
    </row>
    <row r="143" spans="144:190" s="1294" customFormat="1" x14ac:dyDescent="0.15">
      <c r="EN143" s="1481"/>
      <c r="EO143" s="1481"/>
      <c r="EP143" s="1481"/>
      <c r="EQ143" s="1481"/>
      <c r="ER143" s="1481"/>
      <c r="ES143" s="1481"/>
      <c r="ET143" s="1481"/>
      <c r="EU143" s="1481"/>
      <c r="EV143" s="1481"/>
      <c r="EW143" s="1481"/>
      <c r="EX143" s="1482"/>
      <c r="EY143" s="1482"/>
      <c r="EZ143" s="1483"/>
      <c r="FA143" s="1483"/>
      <c r="FB143" s="1293"/>
      <c r="FC143" s="1293"/>
      <c r="FD143" s="1459">
        <v>42304</v>
      </c>
      <c r="FE143" s="1458">
        <v>1</v>
      </c>
      <c r="FF143" s="1458">
        <v>69.010400000000004</v>
      </c>
      <c r="FG143" s="1293"/>
      <c r="FH143" s="1293"/>
      <c r="FI143" s="1293"/>
      <c r="FJ143" s="1293"/>
      <c r="FK143" s="1293"/>
      <c r="FL143" s="1293"/>
      <c r="FM143" s="1293"/>
      <c r="FN143" s="1293"/>
      <c r="FO143" s="1293"/>
      <c r="FP143" s="1293"/>
      <c r="FQ143" s="1293"/>
      <c r="FR143" s="1293"/>
      <c r="FS143" s="1293"/>
      <c r="FT143" s="1293"/>
      <c r="FU143" s="1293"/>
      <c r="FV143" s="1293"/>
      <c r="FW143" s="1293"/>
      <c r="FX143" s="1293"/>
      <c r="FY143" s="1484"/>
      <c r="FZ143" s="1484"/>
      <c r="GA143" s="1484"/>
      <c r="GB143" s="1481"/>
      <c r="GC143" s="1481"/>
      <c r="GD143" s="1481"/>
      <c r="GE143" s="1481"/>
      <c r="GF143" s="1481"/>
      <c r="GG143" s="1481"/>
      <c r="GH143" s="1481"/>
    </row>
    <row r="144" spans="144:190" s="1294" customFormat="1" x14ac:dyDescent="0.15">
      <c r="EN144" s="1481"/>
      <c r="EO144" s="1481"/>
      <c r="EP144" s="1481"/>
      <c r="EQ144" s="1481"/>
      <c r="ER144" s="1481"/>
      <c r="ES144" s="1481"/>
      <c r="ET144" s="1481"/>
      <c r="EU144" s="1481"/>
      <c r="EV144" s="1481"/>
      <c r="EW144" s="1481"/>
      <c r="EX144" s="1482"/>
      <c r="EY144" s="1482"/>
      <c r="EZ144" s="1483"/>
      <c r="FA144" s="1483"/>
      <c r="FB144" s="1293"/>
      <c r="FC144" s="1293"/>
      <c r="FD144" s="1459">
        <v>42305</v>
      </c>
      <c r="FE144" s="1458">
        <v>1</v>
      </c>
      <c r="FF144" s="1458">
        <v>70.212400000000002</v>
      </c>
      <c r="FG144" s="1293"/>
      <c r="FH144" s="1293"/>
      <c r="FI144" s="1293"/>
      <c r="FJ144" s="1293"/>
      <c r="FK144" s="1293"/>
      <c r="FL144" s="1293"/>
      <c r="FM144" s="1293"/>
      <c r="FN144" s="1293"/>
      <c r="FO144" s="1293"/>
      <c r="FP144" s="1293"/>
      <c r="FQ144" s="1293"/>
      <c r="FR144" s="1293"/>
      <c r="FS144" s="1293"/>
      <c r="FT144" s="1293"/>
      <c r="FU144" s="1293"/>
      <c r="FV144" s="1293"/>
      <c r="FW144" s="1293"/>
      <c r="FX144" s="1293"/>
      <c r="FY144" s="1484"/>
      <c r="FZ144" s="1484"/>
      <c r="GA144" s="1484"/>
      <c r="GB144" s="1481"/>
      <c r="GC144" s="1481"/>
      <c r="GD144" s="1481"/>
      <c r="GE144" s="1481"/>
      <c r="GF144" s="1481"/>
      <c r="GG144" s="1481"/>
      <c r="GH144" s="1481"/>
    </row>
    <row r="145" spans="144:190" s="1294" customFormat="1" x14ac:dyDescent="0.15">
      <c r="EN145" s="1481"/>
      <c r="EO145" s="1481"/>
      <c r="EP145" s="1481"/>
      <c r="EQ145" s="1481"/>
      <c r="ER145" s="1481"/>
      <c r="ES145" s="1481"/>
      <c r="ET145" s="1481"/>
      <c r="EU145" s="1481"/>
      <c r="EV145" s="1481"/>
      <c r="EW145" s="1481"/>
      <c r="EX145" s="1482"/>
      <c r="EY145" s="1482"/>
      <c r="EZ145" s="1483"/>
      <c r="FA145" s="1483"/>
      <c r="FB145" s="1293"/>
      <c r="FC145" s="1293"/>
      <c r="FD145" s="1459">
        <v>42306</v>
      </c>
      <c r="FE145" s="1458">
        <v>1</v>
      </c>
      <c r="FF145" s="1458">
        <v>72.147900000000007</v>
      </c>
      <c r="FG145" s="1293"/>
      <c r="FH145" s="1293"/>
      <c r="FI145" s="1293"/>
      <c r="FJ145" s="1293"/>
      <c r="FK145" s="1293"/>
      <c r="FL145" s="1293"/>
      <c r="FM145" s="1293"/>
      <c r="FN145" s="1293"/>
      <c r="FO145" s="1293"/>
      <c r="FP145" s="1293"/>
      <c r="FQ145" s="1293"/>
      <c r="FR145" s="1293"/>
      <c r="FS145" s="1293"/>
      <c r="FT145" s="1293"/>
      <c r="FU145" s="1293"/>
      <c r="FV145" s="1293"/>
      <c r="FW145" s="1293"/>
      <c r="FX145" s="1293"/>
      <c r="FY145" s="1484"/>
      <c r="FZ145" s="1484"/>
      <c r="GA145" s="1484"/>
      <c r="GB145" s="1481"/>
      <c r="GC145" s="1481"/>
      <c r="GD145" s="1481"/>
      <c r="GE145" s="1481"/>
      <c r="GF145" s="1481"/>
      <c r="GG145" s="1481"/>
      <c r="GH145" s="1481"/>
    </row>
    <row r="146" spans="144:190" s="1294" customFormat="1" x14ac:dyDescent="0.15">
      <c r="EN146" s="1481"/>
      <c r="EO146" s="1481"/>
      <c r="EP146" s="1481"/>
      <c r="EQ146" s="1481"/>
      <c r="ER146" s="1481"/>
      <c r="ES146" s="1481"/>
      <c r="ET146" s="1481"/>
      <c r="EU146" s="1481"/>
      <c r="EV146" s="1481"/>
      <c r="EW146" s="1481"/>
      <c r="EX146" s="1482"/>
      <c r="EY146" s="1482"/>
      <c r="EZ146" s="1483"/>
      <c r="FA146" s="1483"/>
      <c r="FB146" s="1293"/>
      <c r="FC146" s="1293"/>
      <c r="FD146" s="1459">
        <v>42307</v>
      </c>
      <c r="FE146" s="1458">
        <v>1</v>
      </c>
      <c r="FF146" s="1458">
        <v>70.142700000000005</v>
      </c>
      <c r="FG146" s="1293"/>
      <c r="FH146" s="1293"/>
      <c r="FI146" s="1293"/>
      <c r="FJ146" s="1293"/>
      <c r="FK146" s="1293"/>
      <c r="FL146" s="1293"/>
      <c r="FM146" s="1293"/>
      <c r="FN146" s="1293"/>
      <c r="FO146" s="1293"/>
      <c r="FP146" s="1293"/>
      <c r="FQ146" s="1293"/>
      <c r="FR146" s="1293"/>
      <c r="FS146" s="1293"/>
      <c r="FT146" s="1293"/>
      <c r="FU146" s="1293"/>
      <c r="FV146" s="1293"/>
      <c r="FW146" s="1293"/>
      <c r="FX146" s="1293"/>
      <c r="FY146" s="1484"/>
      <c r="FZ146" s="1484"/>
      <c r="GA146" s="1484"/>
      <c r="GB146" s="1481"/>
      <c r="GC146" s="1481"/>
      <c r="GD146" s="1481"/>
      <c r="GE146" s="1481"/>
      <c r="GF146" s="1481"/>
      <c r="GG146" s="1481"/>
      <c r="GH146" s="1481"/>
    </row>
    <row r="147" spans="144:190" s="1294" customFormat="1" x14ac:dyDescent="0.15">
      <c r="EN147" s="1481"/>
      <c r="EO147" s="1481"/>
      <c r="EP147" s="1481"/>
      <c r="EQ147" s="1481"/>
      <c r="ER147" s="1481"/>
      <c r="ES147" s="1481"/>
      <c r="ET147" s="1481"/>
      <c r="EU147" s="1481"/>
      <c r="EV147" s="1481"/>
      <c r="EW147" s="1481"/>
      <c r="EX147" s="1482"/>
      <c r="EY147" s="1482"/>
      <c r="EZ147" s="1483"/>
      <c r="FA147" s="1483"/>
      <c r="FB147" s="1293"/>
      <c r="FC147" s="1293"/>
      <c r="FD147" s="1459">
        <v>42308</v>
      </c>
      <c r="FE147" s="1458">
        <v>1</v>
      </c>
      <c r="FF147" s="1458">
        <v>70.753699999999995</v>
      </c>
      <c r="FG147" s="1293"/>
      <c r="FH147" s="1293"/>
      <c r="FI147" s="1293"/>
      <c r="FJ147" s="1293"/>
      <c r="FK147" s="1293"/>
      <c r="FL147" s="1293"/>
      <c r="FM147" s="1293"/>
      <c r="FN147" s="1293"/>
      <c r="FO147" s="1293"/>
      <c r="FP147" s="1293"/>
      <c r="FQ147" s="1293"/>
      <c r="FR147" s="1293"/>
      <c r="FS147" s="1293"/>
      <c r="FT147" s="1293"/>
      <c r="FU147" s="1293"/>
      <c r="FV147" s="1293"/>
      <c r="FW147" s="1293"/>
      <c r="FX147" s="1293"/>
      <c r="FY147" s="1484"/>
      <c r="FZ147" s="1484"/>
      <c r="GA147" s="1484"/>
      <c r="GB147" s="1481"/>
      <c r="GC147" s="1481"/>
      <c r="GD147" s="1481"/>
      <c r="GE147" s="1481"/>
      <c r="GF147" s="1481"/>
      <c r="GG147" s="1481"/>
      <c r="GH147" s="1481"/>
    </row>
    <row r="148" spans="144:190" s="1294" customFormat="1" x14ac:dyDescent="0.15">
      <c r="EN148" s="1481"/>
      <c r="EO148" s="1481"/>
      <c r="EP148" s="1481"/>
      <c r="EQ148" s="1481"/>
      <c r="ER148" s="1481"/>
      <c r="ES148" s="1481"/>
      <c r="ET148" s="1481"/>
      <c r="EU148" s="1481"/>
      <c r="EV148" s="1481"/>
      <c r="EW148" s="1481"/>
      <c r="EX148" s="1482"/>
      <c r="EY148" s="1482"/>
      <c r="EZ148" s="1483"/>
      <c r="FA148" s="1483"/>
      <c r="FB148" s="1293"/>
      <c r="FC148" s="1293"/>
      <c r="FD148" s="1459">
        <v>42311</v>
      </c>
      <c r="FE148" s="1458">
        <v>1</v>
      </c>
      <c r="FF148" s="1458">
        <v>70.396100000000004</v>
      </c>
      <c r="FG148" s="1293"/>
      <c r="FH148" s="1293"/>
      <c r="FI148" s="1293"/>
      <c r="FJ148" s="1293"/>
      <c r="FK148" s="1293"/>
      <c r="FL148" s="1293"/>
      <c r="FM148" s="1293"/>
      <c r="FN148" s="1293"/>
      <c r="FO148" s="1293"/>
      <c r="FP148" s="1293"/>
      <c r="FQ148" s="1293"/>
      <c r="FR148" s="1293"/>
      <c r="FS148" s="1293"/>
      <c r="FT148" s="1293"/>
      <c r="FU148" s="1293"/>
      <c r="FV148" s="1293"/>
      <c r="FW148" s="1293"/>
      <c r="FX148" s="1293"/>
      <c r="FY148" s="1484"/>
      <c r="FZ148" s="1484"/>
      <c r="GA148" s="1484"/>
      <c r="GB148" s="1481"/>
      <c r="GC148" s="1481"/>
      <c r="GD148" s="1481"/>
      <c r="GE148" s="1481"/>
      <c r="GF148" s="1481"/>
      <c r="GG148" s="1481"/>
      <c r="GH148" s="1481"/>
    </row>
    <row r="149" spans="144:190" s="1294" customFormat="1" x14ac:dyDescent="0.15">
      <c r="EN149" s="1481"/>
      <c r="EO149" s="1481"/>
      <c r="EP149" s="1481"/>
      <c r="EQ149" s="1481"/>
      <c r="ER149" s="1481"/>
      <c r="ES149" s="1481"/>
      <c r="ET149" s="1481"/>
      <c r="EU149" s="1481"/>
      <c r="EV149" s="1481"/>
      <c r="EW149" s="1481"/>
      <c r="EX149" s="1482"/>
      <c r="EY149" s="1482"/>
      <c r="EZ149" s="1483"/>
      <c r="FA149" s="1483"/>
      <c r="FB149" s="1293"/>
      <c r="FC149" s="1293"/>
      <c r="FD149" s="1459">
        <v>42312</v>
      </c>
      <c r="FE149" s="1458">
        <v>1</v>
      </c>
      <c r="FF149" s="1458">
        <v>70.378200000000007</v>
      </c>
      <c r="FG149" s="1293"/>
      <c r="FH149" s="1293"/>
      <c r="FI149" s="1293"/>
      <c r="FJ149" s="1293"/>
      <c r="FK149" s="1293"/>
      <c r="FL149" s="1293"/>
      <c r="FM149" s="1293"/>
      <c r="FN149" s="1293"/>
      <c r="FO149" s="1293"/>
      <c r="FP149" s="1293"/>
      <c r="FQ149" s="1293"/>
      <c r="FR149" s="1293"/>
      <c r="FS149" s="1293"/>
      <c r="FT149" s="1293"/>
      <c r="FU149" s="1293"/>
      <c r="FV149" s="1293"/>
      <c r="FW149" s="1293"/>
      <c r="FX149" s="1293"/>
      <c r="FY149" s="1484"/>
      <c r="FZ149" s="1484"/>
      <c r="GA149" s="1484"/>
      <c r="GB149" s="1481"/>
      <c r="GC149" s="1481"/>
      <c r="GD149" s="1481"/>
      <c r="GE149" s="1481"/>
      <c r="GF149" s="1481"/>
      <c r="GG149" s="1481"/>
      <c r="GH149" s="1481"/>
    </row>
    <row r="150" spans="144:190" s="1294" customFormat="1" x14ac:dyDescent="0.15">
      <c r="EN150" s="1481"/>
      <c r="EO150" s="1481"/>
      <c r="EP150" s="1481"/>
      <c r="EQ150" s="1481"/>
      <c r="ER150" s="1481"/>
      <c r="ES150" s="1481"/>
      <c r="ET150" s="1481"/>
      <c r="EU150" s="1481"/>
      <c r="EV150" s="1481"/>
      <c r="EW150" s="1481"/>
      <c r="EX150" s="1482"/>
      <c r="EY150" s="1482"/>
      <c r="EZ150" s="1483"/>
      <c r="FA150" s="1483"/>
      <c r="FB150" s="1293"/>
      <c r="FC150" s="1293"/>
      <c r="FD150" s="1459">
        <v>42314</v>
      </c>
      <c r="FE150" s="1458">
        <v>1</v>
      </c>
      <c r="FF150" s="1458">
        <v>68.826099999999997</v>
      </c>
      <c r="FG150" s="1293"/>
      <c r="FH150" s="1293"/>
      <c r="FI150" s="1293"/>
      <c r="FJ150" s="1293"/>
      <c r="FK150" s="1293"/>
      <c r="FL150" s="1293"/>
      <c r="FM150" s="1293"/>
      <c r="FN150" s="1293"/>
      <c r="FO150" s="1293"/>
      <c r="FP150" s="1293"/>
      <c r="FQ150" s="1293"/>
      <c r="FR150" s="1293"/>
      <c r="FS150" s="1293"/>
      <c r="FT150" s="1293"/>
      <c r="FU150" s="1293"/>
      <c r="FV150" s="1293"/>
      <c r="FW150" s="1293"/>
      <c r="FX150" s="1293"/>
      <c r="FY150" s="1484"/>
      <c r="FZ150" s="1484"/>
      <c r="GA150" s="1484"/>
      <c r="GB150" s="1481"/>
      <c r="GC150" s="1481"/>
      <c r="GD150" s="1481"/>
      <c r="GE150" s="1481"/>
      <c r="GF150" s="1481"/>
      <c r="GG150" s="1481"/>
      <c r="GH150" s="1481"/>
    </row>
    <row r="151" spans="144:190" s="1294" customFormat="1" x14ac:dyDescent="0.15">
      <c r="EN151" s="1481"/>
      <c r="EO151" s="1481"/>
      <c r="EP151" s="1481"/>
      <c r="EQ151" s="1481"/>
      <c r="ER151" s="1481"/>
      <c r="ES151" s="1481"/>
      <c r="ET151" s="1481"/>
      <c r="EU151" s="1481"/>
      <c r="EV151" s="1481"/>
      <c r="EW151" s="1481"/>
      <c r="EX151" s="1482"/>
      <c r="EY151" s="1482"/>
      <c r="EZ151" s="1483"/>
      <c r="FA151" s="1483"/>
      <c r="FB151" s="1293"/>
      <c r="FC151" s="1293"/>
      <c r="FD151" s="1459">
        <v>42315</v>
      </c>
      <c r="FE151" s="1458">
        <v>1</v>
      </c>
      <c r="FF151" s="1458">
        <v>69.255499999999998</v>
      </c>
      <c r="FG151" s="1293"/>
      <c r="FH151" s="1293"/>
      <c r="FI151" s="1293"/>
      <c r="FJ151" s="1293"/>
      <c r="FK151" s="1293"/>
      <c r="FL151" s="1293"/>
      <c r="FM151" s="1293"/>
      <c r="FN151" s="1293"/>
      <c r="FO151" s="1293"/>
      <c r="FP151" s="1293"/>
      <c r="FQ151" s="1293"/>
      <c r="FR151" s="1293"/>
      <c r="FS151" s="1293"/>
      <c r="FT151" s="1293"/>
      <c r="FU151" s="1293"/>
      <c r="FV151" s="1293"/>
      <c r="FW151" s="1293"/>
      <c r="FX151" s="1293"/>
      <c r="FY151" s="1484"/>
      <c r="FZ151" s="1484"/>
      <c r="GA151" s="1484"/>
      <c r="GB151" s="1481"/>
      <c r="GC151" s="1481"/>
      <c r="GD151" s="1481"/>
      <c r="GE151" s="1481"/>
      <c r="GF151" s="1481"/>
      <c r="GG151" s="1481"/>
      <c r="GH151" s="1481"/>
    </row>
    <row r="152" spans="144:190" s="1294" customFormat="1" x14ac:dyDescent="0.15">
      <c r="EN152" s="1481"/>
      <c r="EO152" s="1481"/>
      <c r="EP152" s="1481"/>
      <c r="EQ152" s="1481"/>
      <c r="ER152" s="1481"/>
      <c r="ES152" s="1481"/>
      <c r="ET152" s="1481"/>
      <c r="EU152" s="1481"/>
      <c r="EV152" s="1481"/>
      <c r="EW152" s="1481"/>
      <c r="EX152" s="1482"/>
      <c r="EY152" s="1482"/>
      <c r="EZ152" s="1483"/>
      <c r="FA152" s="1483"/>
      <c r="FB152" s="1293"/>
      <c r="FC152" s="1293"/>
      <c r="FD152" s="1459">
        <v>42318</v>
      </c>
      <c r="FE152" s="1458">
        <v>1</v>
      </c>
      <c r="FF152" s="1458">
        <v>69.613600000000005</v>
      </c>
      <c r="FG152" s="1293"/>
      <c r="FH152" s="1293"/>
      <c r="FI152" s="1293"/>
      <c r="FJ152" s="1293"/>
      <c r="FK152" s="1293"/>
      <c r="FL152" s="1293"/>
      <c r="FM152" s="1293"/>
      <c r="FN152" s="1293"/>
      <c r="FO152" s="1293"/>
      <c r="FP152" s="1293"/>
      <c r="FQ152" s="1293"/>
      <c r="FR152" s="1293"/>
      <c r="FS152" s="1293"/>
      <c r="FT152" s="1293"/>
      <c r="FU152" s="1293"/>
      <c r="FV152" s="1293"/>
      <c r="FW152" s="1293"/>
      <c r="FX152" s="1293"/>
      <c r="FY152" s="1484"/>
      <c r="FZ152" s="1484"/>
      <c r="GA152" s="1484"/>
      <c r="GB152" s="1481"/>
      <c r="GC152" s="1481"/>
      <c r="GD152" s="1481"/>
      <c r="GE152" s="1481"/>
      <c r="GF152" s="1481"/>
      <c r="GG152" s="1481"/>
      <c r="GH152" s="1481"/>
    </row>
    <row r="153" spans="144:190" s="1294" customFormat="1" x14ac:dyDescent="0.15">
      <c r="EN153" s="1481"/>
      <c r="EO153" s="1481"/>
      <c r="EP153" s="1481"/>
      <c r="EQ153" s="1481"/>
      <c r="ER153" s="1481"/>
      <c r="ES153" s="1481"/>
      <c r="ET153" s="1481"/>
      <c r="EU153" s="1481"/>
      <c r="EV153" s="1481"/>
      <c r="EW153" s="1481"/>
      <c r="EX153" s="1482"/>
      <c r="EY153" s="1482"/>
      <c r="EZ153" s="1483"/>
      <c r="FA153" s="1483"/>
      <c r="FB153" s="1293"/>
      <c r="FC153" s="1293"/>
      <c r="FD153" s="1459">
        <v>42319</v>
      </c>
      <c r="FE153" s="1458">
        <v>1</v>
      </c>
      <c r="FF153" s="1458">
        <v>69.239400000000003</v>
      </c>
      <c r="FG153" s="1293"/>
      <c r="FH153" s="1293"/>
      <c r="FI153" s="1293"/>
      <c r="FJ153" s="1293"/>
      <c r="FK153" s="1293"/>
      <c r="FL153" s="1293"/>
      <c r="FM153" s="1293"/>
      <c r="FN153" s="1293"/>
      <c r="FO153" s="1293"/>
      <c r="FP153" s="1293"/>
      <c r="FQ153" s="1293"/>
      <c r="FR153" s="1293"/>
      <c r="FS153" s="1293"/>
      <c r="FT153" s="1293"/>
      <c r="FU153" s="1293"/>
      <c r="FV153" s="1293"/>
      <c r="FW153" s="1293"/>
      <c r="FX153" s="1293"/>
      <c r="FY153" s="1484"/>
      <c r="FZ153" s="1484"/>
      <c r="GA153" s="1484"/>
      <c r="GB153" s="1481"/>
      <c r="GC153" s="1481"/>
      <c r="GD153" s="1481"/>
      <c r="GE153" s="1481"/>
      <c r="GF153" s="1481"/>
      <c r="GG153" s="1481"/>
      <c r="GH153" s="1481"/>
    </row>
    <row r="154" spans="144:190" s="1294" customFormat="1" x14ac:dyDescent="0.15">
      <c r="EN154" s="1481"/>
      <c r="EO154" s="1481"/>
      <c r="EP154" s="1481"/>
      <c r="EQ154" s="1481"/>
      <c r="ER154" s="1481"/>
      <c r="ES154" s="1481"/>
      <c r="ET154" s="1481"/>
      <c r="EU154" s="1481"/>
      <c r="EV154" s="1481"/>
      <c r="EW154" s="1481"/>
      <c r="EX154" s="1482"/>
      <c r="EY154" s="1482"/>
      <c r="EZ154" s="1483"/>
      <c r="FA154" s="1483"/>
      <c r="FB154" s="1293"/>
      <c r="FC154" s="1293"/>
      <c r="FD154" s="1459">
        <v>42320</v>
      </c>
      <c r="FE154" s="1458">
        <v>1</v>
      </c>
      <c r="FF154" s="1458">
        <v>69.3797</v>
      </c>
      <c r="FG154" s="1293"/>
      <c r="FH154" s="1293"/>
      <c r="FI154" s="1293"/>
      <c r="FJ154" s="1293"/>
      <c r="FK154" s="1293"/>
      <c r="FL154" s="1293"/>
      <c r="FM154" s="1293"/>
      <c r="FN154" s="1293"/>
      <c r="FO154" s="1293"/>
      <c r="FP154" s="1293"/>
      <c r="FQ154" s="1293"/>
      <c r="FR154" s="1293"/>
      <c r="FS154" s="1293"/>
      <c r="FT154" s="1293"/>
      <c r="FU154" s="1293"/>
      <c r="FV154" s="1293"/>
      <c r="FW154" s="1293"/>
      <c r="FX154" s="1293"/>
      <c r="FY154" s="1484"/>
      <c r="FZ154" s="1484"/>
      <c r="GA154" s="1484"/>
      <c r="GB154" s="1481"/>
      <c r="GC154" s="1481"/>
      <c r="GD154" s="1481"/>
      <c r="GE154" s="1481"/>
      <c r="GF154" s="1481"/>
      <c r="GG154" s="1481"/>
      <c r="GH154" s="1481"/>
    </row>
    <row r="155" spans="144:190" s="1294" customFormat="1" x14ac:dyDescent="0.15">
      <c r="EN155" s="1481"/>
      <c r="EO155" s="1481"/>
      <c r="EP155" s="1481"/>
      <c r="EQ155" s="1481"/>
      <c r="ER155" s="1481"/>
      <c r="ES155" s="1481"/>
      <c r="ET155" s="1481"/>
      <c r="EU155" s="1481"/>
      <c r="EV155" s="1481"/>
      <c r="EW155" s="1481"/>
      <c r="EX155" s="1482"/>
      <c r="EY155" s="1482"/>
      <c r="EZ155" s="1483"/>
      <c r="FA155" s="1483"/>
      <c r="FB155" s="1293"/>
      <c r="FC155" s="1293"/>
      <c r="FD155" s="1459">
        <v>42321</v>
      </c>
      <c r="FE155" s="1458">
        <v>1</v>
      </c>
      <c r="FF155" s="1458">
        <v>70.337000000000003</v>
      </c>
      <c r="FG155" s="1293"/>
      <c r="FH155" s="1293"/>
      <c r="FI155" s="1293"/>
      <c r="FJ155" s="1293"/>
      <c r="FK155" s="1293"/>
      <c r="FL155" s="1293"/>
      <c r="FM155" s="1293"/>
      <c r="FN155" s="1293"/>
      <c r="FO155" s="1293"/>
      <c r="FP155" s="1293"/>
      <c r="FQ155" s="1293"/>
      <c r="FR155" s="1293"/>
      <c r="FS155" s="1293"/>
      <c r="FT155" s="1293"/>
      <c r="FU155" s="1293"/>
      <c r="FV155" s="1293"/>
      <c r="FW155" s="1293"/>
      <c r="FX155" s="1293"/>
      <c r="FY155" s="1484"/>
      <c r="FZ155" s="1484"/>
      <c r="GA155" s="1484"/>
      <c r="GB155" s="1481"/>
      <c r="GC155" s="1481"/>
      <c r="GD155" s="1481"/>
      <c r="GE155" s="1481"/>
      <c r="GF155" s="1481"/>
      <c r="GG155" s="1481"/>
      <c r="GH155" s="1481"/>
    </row>
    <row r="156" spans="144:190" s="1294" customFormat="1" x14ac:dyDescent="0.15">
      <c r="EN156" s="1481"/>
      <c r="EO156" s="1481"/>
      <c r="EP156" s="1481"/>
      <c r="EQ156" s="1481"/>
      <c r="ER156" s="1481"/>
      <c r="ES156" s="1481"/>
      <c r="ET156" s="1481"/>
      <c r="EU156" s="1481"/>
      <c r="EV156" s="1481"/>
      <c r="EW156" s="1481"/>
      <c r="EX156" s="1482"/>
      <c r="EY156" s="1482"/>
      <c r="EZ156" s="1483"/>
      <c r="FA156" s="1483"/>
      <c r="FB156" s="1293"/>
      <c r="FC156" s="1293"/>
      <c r="FD156" s="1459">
        <v>42322</v>
      </c>
      <c r="FE156" s="1458">
        <v>1</v>
      </c>
      <c r="FF156" s="1458">
        <v>71.818399999999997</v>
      </c>
      <c r="FG156" s="1293"/>
      <c r="FH156" s="1293"/>
      <c r="FI156" s="1293"/>
      <c r="FJ156" s="1293"/>
      <c r="FK156" s="1293"/>
      <c r="FL156" s="1293"/>
      <c r="FM156" s="1293"/>
      <c r="FN156" s="1293"/>
      <c r="FO156" s="1293"/>
      <c r="FP156" s="1293"/>
      <c r="FQ156" s="1293"/>
      <c r="FR156" s="1293"/>
      <c r="FS156" s="1293"/>
      <c r="FT156" s="1293"/>
      <c r="FU156" s="1293"/>
      <c r="FV156" s="1293"/>
      <c r="FW156" s="1293"/>
      <c r="FX156" s="1293"/>
      <c r="FY156" s="1484"/>
      <c r="FZ156" s="1484"/>
      <c r="GA156" s="1484"/>
      <c r="GB156" s="1481"/>
      <c r="GC156" s="1481"/>
      <c r="GD156" s="1481"/>
      <c r="GE156" s="1481"/>
      <c r="GF156" s="1481"/>
      <c r="GG156" s="1481"/>
      <c r="GH156" s="1481"/>
    </row>
    <row r="157" spans="144:190" s="1294" customFormat="1" x14ac:dyDescent="0.15">
      <c r="EN157" s="1481"/>
      <c r="EO157" s="1481"/>
      <c r="EP157" s="1481"/>
      <c r="EQ157" s="1481"/>
      <c r="ER157" s="1481"/>
      <c r="ES157" s="1481"/>
      <c r="ET157" s="1481"/>
      <c r="EU157" s="1481"/>
      <c r="EV157" s="1481"/>
      <c r="EW157" s="1481"/>
      <c r="EX157" s="1482"/>
      <c r="EY157" s="1482"/>
      <c r="EZ157" s="1483"/>
      <c r="FA157" s="1483"/>
      <c r="FB157" s="1293"/>
      <c r="FC157" s="1293"/>
      <c r="FD157" s="1459">
        <v>42325</v>
      </c>
      <c r="FE157" s="1458">
        <v>1</v>
      </c>
      <c r="FF157" s="1458">
        <v>71.398700000000005</v>
      </c>
      <c r="FG157" s="1293"/>
      <c r="FH157" s="1293"/>
      <c r="FI157" s="1293"/>
      <c r="FJ157" s="1293"/>
      <c r="FK157" s="1293"/>
      <c r="FL157" s="1293"/>
      <c r="FM157" s="1293"/>
      <c r="FN157" s="1293"/>
      <c r="FO157" s="1293"/>
      <c r="FP157" s="1293"/>
      <c r="FQ157" s="1293"/>
      <c r="FR157" s="1293"/>
      <c r="FS157" s="1293"/>
      <c r="FT157" s="1293"/>
      <c r="FU157" s="1293"/>
      <c r="FV157" s="1293"/>
      <c r="FW157" s="1293"/>
      <c r="FX157" s="1293"/>
      <c r="FY157" s="1484"/>
      <c r="FZ157" s="1484"/>
      <c r="GA157" s="1484"/>
      <c r="GB157" s="1481"/>
      <c r="GC157" s="1481"/>
      <c r="GD157" s="1481"/>
      <c r="GE157" s="1481"/>
      <c r="GF157" s="1481"/>
      <c r="GG157" s="1481"/>
      <c r="GH157" s="1481"/>
    </row>
    <row r="158" spans="144:190" s="1294" customFormat="1" x14ac:dyDescent="0.15">
      <c r="EN158" s="1481"/>
      <c r="EO158" s="1481"/>
      <c r="EP158" s="1481"/>
      <c r="EQ158" s="1481"/>
      <c r="ER158" s="1481"/>
      <c r="ES158" s="1481"/>
      <c r="ET158" s="1481"/>
      <c r="EU158" s="1481"/>
      <c r="EV158" s="1481"/>
      <c r="EW158" s="1481"/>
      <c r="EX158" s="1482"/>
      <c r="EY158" s="1482"/>
      <c r="EZ158" s="1483"/>
      <c r="FA158" s="1483"/>
      <c r="FB158" s="1293"/>
      <c r="FC158" s="1293"/>
      <c r="FD158" s="1459">
        <v>42326</v>
      </c>
      <c r="FE158" s="1458">
        <v>1</v>
      </c>
      <c r="FF158" s="1458">
        <v>69.781899999999993</v>
      </c>
      <c r="FG158" s="1293"/>
      <c r="FH158" s="1293"/>
      <c r="FI158" s="1293"/>
      <c r="FJ158" s="1293"/>
      <c r="FK158" s="1293"/>
      <c r="FL158" s="1293"/>
      <c r="FM158" s="1293"/>
      <c r="FN158" s="1293"/>
      <c r="FO158" s="1293"/>
      <c r="FP158" s="1293"/>
      <c r="FQ158" s="1293"/>
      <c r="FR158" s="1293"/>
      <c r="FS158" s="1293"/>
      <c r="FT158" s="1293"/>
      <c r="FU158" s="1293"/>
      <c r="FV158" s="1293"/>
      <c r="FW158" s="1293"/>
      <c r="FX158" s="1293"/>
      <c r="FY158" s="1484"/>
      <c r="FZ158" s="1484"/>
      <c r="GA158" s="1484"/>
      <c r="GB158" s="1481"/>
      <c r="GC158" s="1481"/>
      <c r="GD158" s="1481"/>
      <c r="GE158" s="1481"/>
      <c r="GF158" s="1481"/>
      <c r="GG158" s="1481"/>
      <c r="GH158" s="1481"/>
    </row>
    <row r="159" spans="144:190" s="1294" customFormat="1" x14ac:dyDescent="0.15">
      <c r="EN159" s="1481"/>
      <c r="EO159" s="1481"/>
      <c r="EP159" s="1481"/>
      <c r="EQ159" s="1481"/>
      <c r="ER159" s="1481"/>
      <c r="ES159" s="1481"/>
      <c r="ET159" s="1481"/>
      <c r="EU159" s="1481"/>
      <c r="EV159" s="1481"/>
      <c r="EW159" s="1481"/>
      <c r="EX159" s="1482"/>
      <c r="EY159" s="1482"/>
      <c r="EZ159" s="1483"/>
      <c r="FA159" s="1483"/>
      <c r="FB159" s="1293"/>
      <c r="FC159" s="1293"/>
      <c r="FD159" s="1459">
        <v>42327</v>
      </c>
      <c r="FE159" s="1458">
        <v>1</v>
      </c>
      <c r="FF159" s="1458">
        <v>69.002099999999999</v>
      </c>
      <c r="FG159" s="1293"/>
      <c r="FH159" s="1293"/>
      <c r="FI159" s="1293"/>
      <c r="FJ159" s="1293"/>
      <c r="FK159" s="1293"/>
      <c r="FL159" s="1293"/>
      <c r="FM159" s="1293"/>
      <c r="FN159" s="1293"/>
      <c r="FO159" s="1293"/>
      <c r="FP159" s="1293"/>
      <c r="FQ159" s="1293"/>
      <c r="FR159" s="1293"/>
      <c r="FS159" s="1293"/>
      <c r="FT159" s="1293"/>
      <c r="FU159" s="1293"/>
      <c r="FV159" s="1293"/>
      <c r="FW159" s="1293"/>
      <c r="FX159" s="1293"/>
      <c r="FY159" s="1484"/>
      <c r="FZ159" s="1484"/>
      <c r="GA159" s="1484"/>
      <c r="GB159" s="1481"/>
      <c r="GC159" s="1481"/>
      <c r="GD159" s="1481"/>
      <c r="GE159" s="1481"/>
      <c r="GF159" s="1481"/>
      <c r="GG159" s="1481"/>
      <c r="GH159" s="1481"/>
    </row>
    <row r="160" spans="144:190" s="1294" customFormat="1" x14ac:dyDescent="0.15">
      <c r="EN160" s="1481"/>
      <c r="EO160" s="1481"/>
      <c r="EP160" s="1481"/>
      <c r="EQ160" s="1481"/>
      <c r="ER160" s="1481"/>
      <c r="ES160" s="1481"/>
      <c r="ET160" s="1481"/>
      <c r="EU160" s="1481"/>
      <c r="EV160" s="1481"/>
      <c r="EW160" s="1481"/>
      <c r="EX160" s="1482"/>
      <c r="EY160" s="1482"/>
      <c r="EZ160" s="1483"/>
      <c r="FA160" s="1483"/>
      <c r="FB160" s="1293"/>
      <c r="FC160" s="1293"/>
      <c r="FD160" s="1459">
        <v>42328</v>
      </c>
      <c r="FE160" s="1458">
        <v>1</v>
      </c>
      <c r="FF160" s="1458">
        <v>69.338999999999999</v>
      </c>
      <c r="FG160" s="1293"/>
      <c r="FH160" s="1293"/>
      <c r="FI160" s="1293"/>
      <c r="FJ160" s="1293"/>
      <c r="FK160" s="1293"/>
      <c r="FL160" s="1293"/>
      <c r="FM160" s="1293"/>
      <c r="FN160" s="1293"/>
      <c r="FO160" s="1293"/>
      <c r="FP160" s="1293"/>
      <c r="FQ160" s="1293"/>
      <c r="FR160" s="1293"/>
      <c r="FS160" s="1293"/>
      <c r="FT160" s="1293"/>
      <c r="FU160" s="1293"/>
      <c r="FV160" s="1293"/>
      <c r="FW160" s="1293"/>
      <c r="FX160" s="1293"/>
      <c r="FY160" s="1484"/>
      <c r="FZ160" s="1484"/>
      <c r="GA160" s="1484"/>
      <c r="GB160" s="1481"/>
      <c r="GC160" s="1481"/>
      <c r="GD160" s="1481"/>
      <c r="GE160" s="1481"/>
      <c r="GF160" s="1481"/>
      <c r="GG160" s="1481"/>
      <c r="GH160" s="1481"/>
    </row>
    <row r="161" spans="144:190" s="1294" customFormat="1" x14ac:dyDescent="0.15">
      <c r="EN161" s="1481"/>
      <c r="EO161" s="1481"/>
      <c r="EP161" s="1481"/>
      <c r="EQ161" s="1481"/>
      <c r="ER161" s="1481"/>
      <c r="ES161" s="1481"/>
      <c r="ET161" s="1481"/>
      <c r="EU161" s="1481"/>
      <c r="EV161" s="1481"/>
      <c r="EW161" s="1481"/>
      <c r="EX161" s="1482"/>
      <c r="EY161" s="1482"/>
      <c r="EZ161" s="1483"/>
      <c r="FA161" s="1483"/>
      <c r="FB161" s="1293"/>
      <c r="FC161" s="1293"/>
      <c r="FD161" s="1459">
        <v>42329</v>
      </c>
      <c r="FE161" s="1458">
        <v>1</v>
      </c>
      <c r="FF161" s="1458">
        <v>69.388599999999997</v>
      </c>
      <c r="FG161" s="1293"/>
      <c r="FH161" s="1293"/>
      <c r="FI161" s="1293"/>
      <c r="FJ161" s="1293"/>
      <c r="FK161" s="1293"/>
      <c r="FL161" s="1293"/>
      <c r="FM161" s="1293"/>
      <c r="FN161" s="1293"/>
      <c r="FO161" s="1293"/>
      <c r="FP161" s="1293"/>
      <c r="FQ161" s="1293"/>
      <c r="FR161" s="1293"/>
      <c r="FS161" s="1293"/>
      <c r="FT161" s="1293"/>
      <c r="FU161" s="1293"/>
      <c r="FV161" s="1293"/>
      <c r="FW161" s="1293"/>
      <c r="FX161" s="1293"/>
      <c r="FY161" s="1484"/>
      <c r="FZ161" s="1484"/>
      <c r="GA161" s="1484"/>
      <c r="GB161" s="1481"/>
      <c r="GC161" s="1481"/>
      <c r="GD161" s="1481"/>
      <c r="GE161" s="1481"/>
      <c r="GF161" s="1481"/>
      <c r="GG161" s="1481"/>
      <c r="GH161" s="1481"/>
    </row>
    <row r="162" spans="144:190" s="1294" customFormat="1" x14ac:dyDescent="0.15">
      <c r="EN162" s="1481"/>
      <c r="EO162" s="1481"/>
      <c r="EP162" s="1481"/>
      <c r="EQ162" s="1481"/>
      <c r="ER162" s="1481"/>
      <c r="ES162" s="1481"/>
      <c r="ET162" s="1481"/>
      <c r="EU162" s="1481"/>
      <c r="EV162" s="1481"/>
      <c r="EW162" s="1481"/>
      <c r="EX162" s="1482"/>
      <c r="EY162" s="1482"/>
      <c r="EZ162" s="1483"/>
      <c r="FA162" s="1483"/>
      <c r="FB162" s="1293"/>
      <c r="FC162" s="1293"/>
      <c r="FD162" s="1459">
        <v>42332</v>
      </c>
      <c r="FE162" s="1458">
        <v>1</v>
      </c>
      <c r="FF162" s="1458">
        <v>69.703699999999998</v>
      </c>
      <c r="FG162" s="1293"/>
      <c r="FH162" s="1293"/>
      <c r="FI162" s="1293"/>
      <c r="FJ162" s="1293"/>
      <c r="FK162" s="1293"/>
      <c r="FL162" s="1293"/>
      <c r="FM162" s="1293"/>
      <c r="FN162" s="1293"/>
      <c r="FO162" s="1293"/>
      <c r="FP162" s="1293"/>
      <c r="FQ162" s="1293"/>
      <c r="FR162" s="1293"/>
      <c r="FS162" s="1293"/>
      <c r="FT162" s="1293"/>
      <c r="FU162" s="1293"/>
      <c r="FV162" s="1293"/>
      <c r="FW162" s="1293"/>
      <c r="FX162" s="1293"/>
      <c r="FY162" s="1484"/>
      <c r="FZ162" s="1484"/>
      <c r="GA162" s="1484"/>
      <c r="GB162" s="1481"/>
      <c r="GC162" s="1481"/>
      <c r="GD162" s="1481"/>
      <c r="GE162" s="1481"/>
      <c r="GF162" s="1481"/>
      <c r="GG162" s="1481"/>
      <c r="GH162" s="1481"/>
    </row>
    <row r="163" spans="144:190" s="1294" customFormat="1" x14ac:dyDescent="0.15">
      <c r="EN163" s="1481"/>
      <c r="EO163" s="1481"/>
      <c r="EP163" s="1481"/>
      <c r="EQ163" s="1481"/>
      <c r="ER163" s="1481"/>
      <c r="ES163" s="1481"/>
      <c r="ET163" s="1481"/>
      <c r="EU163" s="1481"/>
      <c r="EV163" s="1481"/>
      <c r="EW163" s="1481"/>
      <c r="EX163" s="1482"/>
      <c r="EY163" s="1482"/>
      <c r="EZ163" s="1483"/>
      <c r="FA163" s="1483"/>
      <c r="FB163" s="1293"/>
      <c r="FC163" s="1293"/>
      <c r="FD163" s="1459">
        <v>42333</v>
      </c>
      <c r="FE163" s="1458">
        <v>1</v>
      </c>
      <c r="FF163" s="1458">
        <v>69.807599999999994</v>
      </c>
      <c r="FG163" s="1293"/>
      <c r="FH163" s="1293"/>
      <c r="FI163" s="1293"/>
      <c r="FJ163" s="1293"/>
      <c r="FK163" s="1293"/>
      <c r="FL163" s="1293"/>
      <c r="FM163" s="1293"/>
      <c r="FN163" s="1293"/>
      <c r="FO163" s="1293"/>
      <c r="FP163" s="1293"/>
      <c r="FQ163" s="1293"/>
      <c r="FR163" s="1293"/>
      <c r="FS163" s="1293"/>
      <c r="FT163" s="1293"/>
      <c r="FU163" s="1293"/>
      <c r="FV163" s="1293"/>
      <c r="FW163" s="1293"/>
      <c r="FX163" s="1293"/>
      <c r="FY163" s="1484"/>
      <c r="FZ163" s="1484"/>
      <c r="GA163" s="1484"/>
      <c r="GB163" s="1481"/>
      <c r="GC163" s="1481"/>
      <c r="GD163" s="1481"/>
      <c r="GE163" s="1481"/>
      <c r="GF163" s="1481"/>
      <c r="GG163" s="1481"/>
      <c r="GH163" s="1481"/>
    </row>
    <row r="164" spans="144:190" s="1294" customFormat="1" x14ac:dyDescent="0.15">
      <c r="EN164" s="1481"/>
      <c r="EO164" s="1481"/>
      <c r="EP164" s="1481"/>
      <c r="EQ164" s="1481"/>
      <c r="ER164" s="1481"/>
      <c r="ES164" s="1481"/>
      <c r="ET164" s="1481"/>
      <c r="EU164" s="1481"/>
      <c r="EV164" s="1481"/>
      <c r="EW164" s="1481"/>
      <c r="EX164" s="1482"/>
      <c r="EY164" s="1482"/>
      <c r="EZ164" s="1483"/>
      <c r="FA164" s="1483"/>
      <c r="FB164" s="1293"/>
      <c r="FC164" s="1293"/>
      <c r="FD164" s="1459">
        <v>42334</v>
      </c>
      <c r="FE164" s="1458">
        <v>1</v>
      </c>
      <c r="FF164" s="1458">
        <v>69.898700000000005</v>
      </c>
      <c r="FG164" s="1293"/>
      <c r="FH164" s="1293"/>
      <c r="FI164" s="1293"/>
      <c r="FJ164" s="1293"/>
      <c r="FK164" s="1293"/>
      <c r="FL164" s="1293"/>
      <c r="FM164" s="1293"/>
      <c r="FN164" s="1293"/>
      <c r="FO164" s="1293"/>
      <c r="FP164" s="1293"/>
      <c r="FQ164" s="1293"/>
      <c r="FR164" s="1293"/>
      <c r="FS164" s="1293"/>
      <c r="FT164" s="1293"/>
      <c r="FU164" s="1293"/>
      <c r="FV164" s="1293"/>
      <c r="FW164" s="1293"/>
      <c r="FX164" s="1293"/>
      <c r="FY164" s="1484"/>
      <c r="FZ164" s="1484"/>
      <c r="GA164" s="1484"/>
      <c r="GB164" s="1481"/>
      <c r="GC164" s="1481"/>
      <c r="GD164" s="1481"/>
      <c r="GE164" s="1481"/>
      <c r="GF164" s="1481"/>
      <c r="GG164" s="1481"/>
      <c r="GH164" s="1481"/>
    </row>
    <row r="165" spans="144:190" s="1294" customFormat="1" x14ac:dyDescent="0.15">
      <c r="EN165" s="1481"/>
      <c r="EO165" s="1481"/>
      <c r="EP165" s="1481"/>
      <c r="EQ165" s="1481"/>
      <c r="ER165" s="1481"/>
      <c r="ES165" s="1481"/>
      <c r="ET165" s="1481"/>
      <c r="EU165" s="1481"/>
      <c r="EV165" s="1481"/>
      <c r="EW165" s="1481"/>
      <c r="EX165" s="1482"/>
      <c r="EY165" s="1482"/>
      <c r="EZ165" s="1483"/>
      <c r="FA165" s="1483"/>
      <c r="FB165" s="1293"/>
      <c r="FC165" s="1293"/>
      <c r="FD165" s="1459">
        <v>42335</v>
      </c>
      <c r="FE165" s="1458">
        <v>1</v>
      </c>
      <c r="FF165" s="1458">
        <v>69.703400000000002</v>
      </c>
      <c r="FG165" s="1293"/>
      <c r="FH165" s="1293"/>
      <c r="FI165" s="1293"/>
      <c r="FJ165" s="1293"/>
      <c r="FK165" s="1293"/>
      <c r="FL165" s="1293"/>
      <c r="FM165" s="1293"/>
      <c r="FN165" s="1293"/>
      <c r="FO165" s="1293"/>
      <c r="FP165" s="1293"/>
      <c r="FQ165" s="1293"/>
      <c r="FR165" s="1293"/>
      <c r="FS165" s="1293"/>
      <c r="FT165" s="1293"/>
      <c r="FU165" s="1293"/>
      <c r="FV165" s="1293"/>
      <c r="FW165" s="1293"/>
      <c r="FX165" s="1293"/>
      <c r="FY165" s="1484"/>
      <c r="FZ165" s="1484"/>
      <c r="GA165" s="1484"/>
      <c r="GB165" s="1481"/>
      <c r="GC165" s="1481"/>
      <c r="GD165" s="1481"/>
      <c r="GE165" s="1481"/>
      <c r="GF165" s="1481"/>
      <c r="GG165" s="1481"/>
      <c r="GH165" s="1481"/>
    </row>
    <row r="166" spans="144:190" s="1294" customFormat="1" x14ac:dyDescent="0.15">
      <c r="EN166" s="1481"/>
      <c r="EO166" s="1481"/>
      <c r="EP166" s="1481"/>
      <c r="EQ166" s="1481"/>
      <c r="ER166" s="1481"/>
      <c r="ES166" s="1481"/>
      <c r="ET166" s="1481"/>
      <c r="EU166" s="1481"/>
      <c r="EV166" s="1481"/>
      <c r="EW166" s="1481"/>
      <c r="EX166" s="1482"/>
      <c r="EY166" s="1482"/>
      <c r="EZ166" s="1483"/>
      <c r="FA166" s="1483"/>
      <c r="FB166" s="1293"/>
      <c r="FC166" s="1293"/>
      <c r="FD166" s="1459">
        <v>42336</v>
      </c>
      <c r="FE166" s="1458">
        <v>1</v>
      </c>
      <c r="FF166" s="1458">
        <v>70.385900000000007</v>
      </c>
      <c r="FG166" s="1293"/>
      <c r="FH166" s="1293"/>
      <c r="FI166" s="1293"/>
      <c r="FJ166" s="1293"/>
      <c r="FK166" s="1293"/>
      <c r="FL166" s="1293"/>
      <c r="FM166" s="1293"/>
      <c r="FN166" s="1293"/>
      <c r="FO166" s="1293"/>
      <c r="FP166" s="1293"/>
      <c r="FQ166" s="1293"/>
      <c r="FR166" s="1293"/>
      <c r="FS166" s="1293"/>
      <c r="FT166" s="1293"/>
      <c r="FU166" s="1293"/>
      <c r="FV166" s="1293"/>
      <c r="FW166" s="1293"/>
      <c r="FX166" s="1293"/>
      <c r="FY166" s="1484"/>
      <c r="FZ166" s="1484"/>
      <c r="GA166" s="1484"/>
      <c r="GB166" s="1481"/>
      <c r="GC166" s="1481"/>
      <c r="GD166" s="1481"/>
      <c r="GE166" s="1481"/>
      <c r="GF166" s="1481"/>
      <c r="GG166" s="1481"/>
      <c r="GH166" s="1481"/>
    </row>
    <row r="167" spans="144:190" s="1294" customFormat="1" x14ac:dyDescent="0.15">
      <c r="EN167" s="1481"/>
      <c r="EO167" s="1481"/>
      <c r="EP167" s="1481"/>
      <c r="EQ167" s="1481"/>
      <c r="ER167" s="1481"/>
      <c r="ES167" s="1481"/>
      <c r="ET167" s="1481"/>
      <c r="EU167" s="1481"/>
      <c r="EV167" s="1481"/>
      <c r="EW167" s="1481"/>
      <c r="EX167" s="1482"/>
      <c r="EY167" s="1482"/>
      <c r="EZ167" s="1483"/>
      <c r="FA167" s="1483"/>
      <c r="FB167" s="1293"/>
      <c r="FC167" s="1293"/>
      <c r="FD167" s="1459">
        <v>42339</v>
      </c>
      <c r="FE167" s="1458">
        <v>1</v>
      </c>
      <c r="FF167" s="1458">
        <v>70.647800000000004</v>
      </c>
      <c r="FG167" s="1293"/>
      <c r="FH167" s="1293"/>
      <c r="FI167" s="1293"/>
      <c r="FJ167" s="1293"/>
      <c r="FK167" s="1293"/>
      <c r="FL167" s="1293"/>
      <c r="FM167" s="1293"/>
      <c r="FN167" s="1293"/>
      <c r="FO167" s="1293"/>
      <c r="FP167" s="1293"/>
      <c r="FQ167" s="1293"/>
      <c r="FR167" s="1293"/>
      <c r="FS167" s="1293"/>
      <c r="FT167" s="1293"/>
      <c r="FU167" s="1293"/>
      <c r="FV167" s="1293"/>
      <c r="FW167" s="1293"/>
      <c r="FX167" s="1293"/>
      <c r="FY167" s="1484"/>
      <c r="FZ167" s="1484"/>
      <c r="GA167" s="1484"/>
      <c r="GB167" s="1481"/>
      <c r="GC167" s="1481"/>
      <c r="GD167" s="1481"/>
      <c r="GE167" s="1481"/>
      <c r="GF167" s="1481"/>
      <c r="GG167" s="1481"/>
      <c r="GH167" s="1481"/>
    </row>
    <row r="168" spans="144:190" s="1294" customFormat="1" x14ac:dyDescent="0.15">
      <c r="EN168" s="1481"/>
      <c r="EO168" s="1481"/>
      <c r="EP168" s="1481"/>
      <c r="EQ168" s="1481"/>
      <c r="ER168" s="1481"/>
      <c r="ES168" s="1481"/>
      <c r="ET168" s="1481"/>
      <c r="EU168" s="1481"/>
      <c r="EV168" s="1481"/>
      <c r="EW168" s="1481"/>
      <c r="EX168" s="1482"/>
      <c r="EY168" s="1482"/>
      <c r="EZ168" s="1483"/>
      <c r="FA168" s="1483"/>
      <c r="FB168" s="1293"/>
      <c r="FC168" s="1293"/>
      <c r="FD168" s="1459">
        <v>42340</v>
      </c>
      <c r="FE168" s="1458">
        <v>1</v>
      </c>
      <c r="FF168" s="1458">
        <v>70.134500000000003</v>
      </c>
      <c r="FG168" s="1293"/>
      <c r="FH168" s="1293"/>
      <c r="FI168" s="1293"/>
      <c r="FJ168" s="1293"/>
      <c r="FK168" s="1293"/>
      <c r="FL168" s="1293"/>
      <c r="FM168" s="1293"/>
      <c r="FN168" s="1293"/>
      <c r="FO168" s="1293"/>
      <c r="FP168" s="1293"/>
      <c r="FQ168" s="1293"/>
      <c r="FR168" s="1293"/>
      <c r="FS168" s="1293"/>
      <c r="FT168" s="1293"/>
      <c r="FU168" s="1293"/>
      <c r="FV168" s="1293"/>
      <c r="FW168" s="1293"/>
      <c r="FX168" s="1293"/>
      <c r="FY168" s="1484"/>
      <c r="FZ168" s="1484"/>
      <c r="GA168" s="1484"/>
      <c r="GB168" s="1481"/>
      <c r="GC168" s="1481"/>
      <c r="GD168" s="1481"/>
      <c r="GE168" s="1481"/>
      <c r="GF168" s="1481"/>
      <c r="GG168" s="1481"/>
      <c r="GH168" s="1481"/>
    </row>
    <row r="169" spans="144:190" s="1294" customFormat="1" x14ac:dyDescent="0.15">
      <c r="EN169" s="1481"/>
      <c r="EO169" s="1481"/>
      <c r="EP169" s="1481"/>
      <c r="EQ169" s="1481"/>
      <c r="ER169" s="1481"/>
      <c r="ES169" s="1481"/>
      <c r="ET169" s="1481"/>
      <c r="EU169" s="1481"/>
      <c r="EV169" s="1481"/>
      <c r="EW169" s="1481"/>
      <c r="EX169" s="1482"/>
      <c r="EY169" s="1482"/>
      <c r="EZ169" s="1483"/>
      <c r="FA169" s="1483"/>
      <c r="FB169" s="1293"/>
      <c r="FC169" s="1293"/>
      <c r="FD169" s="1459">
        <v>42341</v>
      </c>
      <c r="FE169" s="1458">
        <v>1</v>
      </c>
      <c r="FF169" s="1458">
        <v>70.864699999999999</v>
      </c>
      <c r="FG169" s="1293"/>
      <c r="FH169" s="1293"/>
      <c r="FI169" s="1293"/>
      <c r="FJ169" s="1293"/>
      <c r="FK169" s="1293"/>
      <c r="FL169" s="1293"/>
      <c r="FM169" s="1293"/>
      <c r="FN169" s="1293"/>
      <c r="FO169" s="1293"/>
      <c r="FP169" s="1293"/>
      <c r="FQ169" s="1293"/>
      <c r="FR169" s="1293"/>
      <c r="FS169" s="1293"/>
      <c r="FT169" s="1293"/>
      <c r="FU169" s="1293"/>
      <c r="FV169" s="1293"/>
      <c r="FW169" s="1293"/>
      <c r="FX169" s="1293"/>
      <c r="FY169" s="1484"/>
      <c r="FZ169" s="1484"/>
      <c r="GA169" s="1484"/>
      <c r="GB169" s="1481"/>
      <c r="GC169" s="1481"/>
      <c r="GD169" s="1481"/>
      <c r="GE169" s="1481"/>
      <c r="GF169" s="1481"/>
      <c r="GG169" s="1481"/>
      <c r="GH169" s="1481"/>
    </row>
    <row r="170" spans="144:190" s="1294" customFormat="1" x14ac:dyDescent="0.15">
      <c r="EN170" s="1481"/>
      <c r="EO170" s="1481"/>
      <c r="EP170" s="1481"/>
      <c r="EQ170" s="1481"/>
      <c r="ER170" s="1481"/>
      <c r="ES170" s="1481"/>
      <c r="ET170" s="1481"/>
      <c r="EU170" s="1481"/>
      <c r="EV170" s="1481"/>
      <c r="EW170" s="1481"/>
      <c r="EX170" s="1482"/>
      <c r="EY170" s="1482"/>
      <c r="EZ170" s="1483"/>
      <c r="FA170" s="1483"/>
      <c r="FB170" s="1293"/>
      <c r="FC170" s="1293"/>
      <c r="FD170" s="1459">
        <v>42342</v>
      </c>
      <c r="FE170" s="1458">
        <v>1</v>
      </c>
      <c r="FF170" s="1458">
        <v>71.740399999999994</v>
      </c>
      <c r="FG170" s="1293"/>
      <c r="FH170" s="1293"/>
      <c r="FI170" s="1293"/>
      <c r="FJ170" s="1293"/>
      <c r="FK170" s="1293"/>
      <c r="FL170" s="1293"/>
      <c r="FM170" s="1293"/>
      <c r="FN170" s="1293"/>
      <c r="FO170" s="1293"/>
      <c r="FP170" s="1293"/>
      <c r="FQ170" s="1293"/>
      <c r="FR170" s="1293"/>
      <c r="FS170" s="1293"/>
      <c r="FT170" s="1293"/>
      <c r="FU170" s="1293"/>
      <c r="FV170" s="1293"/>
      <c r="FW170" s="1293"/>
      <c r="FX170" s="1293"/>
      <c r="FY170" s="1484"/>
      <c r="FZ170" s="1484"/>
      <c r="GA170" s="1484"/>
      <c r="GB170" s="1481"/>
      <c r="GC170" s="1481"/>
      <c r="GD170" s="1481"/>
      <c r="GE170" s="1481"/>
      <c r="GF170" s="1481"/>
      <c r="GG170" s="1481"/>
      <c r="GH170" s="1481"/>
    </row>
    <row r="171" spans="144:190" s="1294" customFormat="1" x14ac:dyDescent="0.15">
      <c r="EN171" s="1481"/>
      <c r="EO171" s="1481"/>
      <c r="EP171" s="1481"/>
      <c r="EQ171" s="1481"/>
      <c r="ER171" s="1481"/>
      <c r="ES171" s="1481"/>
      <c r="ET171" s="1481"/>
      <c r="EU171" s="1481"/>
      <c r="EV171" s="1481"/>
      <c r="EW171" s="1481"/>
      <c r="EX171" s="1482"/>
      <c r="EY171" s="1482"/>
      <c r="EZ171" s="1483"/>
      <c r="FA171" s="1483"/>
      <c r="FB171" s="1293"/>
      <c r="FC171" s="1293"/>
      <c r="FD171" s="1459">
        <v>42343</v>
      </c>
      <c r="FE171" s="1458">
        <v>1</v>
      </c>
      <c r="FF171" s="1458">
        <v>73.6721</v>
      </c>
      <c r="FG171" s="1293"/>
      <c r="FH171" s="1293"/>
      <c r="FI171" s="1293"/>
      <c r="FJ171" s="1293"/>
      <c r="FK171" s="1293"/>
      <c r="FL171" s="1293"/>
      <c r="FM171" s="1293"/>
      <c r="FN171" s="1293"/>
      <c r="FO171" s="1293"/>
      <c r="FP171" s="1293"/>
      <c r="FQ171" s="1293"/>
      <c r="FR171" s="1293"/>
      <c r="FS171" s="1293"/>
      <c r="FT171" s="1293"/>
      <c r="FU171" s="1293"/>
      <c r="FV171" s="1293"/>
      <c r="FW171" s="1293"/>
      <c r="FX171" s="1293"/>
      <c r="FY171" s="1484"/>
      <c r="FZ171" s="1484"/>
      <c r="GA171" s="1484"/>
      <c r="GB171" s="1481"/>
      <c r="GC171" s="1481"/>
      <c r="GD171" s="1481"/>
      <c r="GE171" s="1481"/>
      <c r="GF171" s="1481"/>
      <c r="GG171" s="1481"/>
      <c r="GH171" s="1481"/>
    </row>
    <row r="172" spans="144:190" s="1294" customFormat="1" x14ac:dyDescent="0.15">
      <c r="EN172" s="1481"/>
      <c r="EO172" s="1481"/>
      <c r="EP172" s="1481"/>
      <c r="EQ172" s="1481"/>
      <c r="ER172" s="1481"/>
      <c r="ES172" s="1481"/>
      <c r="ET172" s="1481"/>
      <c r="EU172" s="1481"/>
      <c r="EV172" s="1481"/>
      <c r="EW172" s="1481"/>
      <c r="EX172" s="1482"/>
      <c r="EY172" s="1482"/>
      <c r="EZ172" s="1483"/>
      <c r="FA172" s="1483"/>
      <c r="FB172" s="1293"/>
      <c r="FC172" s="1293"/>
      <c r="FD172" s="1459">
        <v>42346</v>
      </c>
      <c r="FE172" s="1458">
        <v>1</v>
      </c>
      <c r="FF172" s="1458">
        <v>74.407899999999998</v>
      </c>
      <c r="FG172" s="1293"/>
      <c r="FH172" s="1293"/>
      <c r="FI172" s="1293"/>
      <c r="FJ172" s="1293"/>
      <c r="FK172" s="1293"/>
      <c r="FL172" s="1293"/>
      <c r="FM172" s="1293"/>
      <c r="FN172" s="1293"/>
      <c r="FO172" s="1293"/>
      <c r="FP172" s="1293"/>
      <c r="FQ172" s="1293"/>
      <c r="FR172" s="1293"/>
      <c r="FS172" s="1293"/>
      <c r="FT172" s="1293"/>
      <c r="FU172" s="1293"/>
      <c r="FV172" s="1293"/>
      <c r="FW172" s="1293"/>
      <c r="FX172" s="1293"/>
      <c r="FY172" s="1484"/>
      <c r="FZ172" s="1484"/>
      <c r="GA172" s="1484"/>
      <c r="GB172" s="1481"/>
      <c r="GC172" s="1481"/>
      <c r="GD172" s="1481"/>
      <c r="GE172" s="1481"/>
      <c r="GF172" s="1481"/>
      <c r="GG172" s="1481"/>
      <c r="GH172" s="1481"/>
    </row>
    <row r="173" spans="144:190" s="1294" customFormat="1" x14ac:dyDescent="0.15">
      <c r="EN173" s="1481"/>
      <c r="EO173" s="1481"/>
      <c r="EP173" s="1481"/>
      <c r="EQ173" s="1481"/>
      <c r="ER173" s="1481"/>
      <c r="ES173" s="1481"/>
      <c r="ET173" s="1481"/>
      <c r="EU173" s="1481"/>
      <c r="EV173" s="1481"/>
      <c r="EW173" s="1481"/>
      <c r="EX173" s="1482"/>
      <c r="EY173" s="1482"/>
      <c r="EZ173" s="1483"/>
      <c r="FA173" s="1483"/>
      <c r="FB173" s="1293"/>
      <c r="FC173" s="1293"/>
      <c r="FD173" s="1459">
        <v>42347</v>
      </c>
      <c r="FE173" s="1458">
        <v>1</v>
      </c>
      <c r="FF173" s="1458">
        <v>75.311099999999996</v>
      </c>
      <c r="FG173" s="1293"/>
      <c r="FH173" s="1293"/>
      <c r="FI173" s="1293"/>
      <c r="FJ173" s="1293"/>
      <c r="FK173" s="1293"/>
      <c r="FL173" s="1293"/>
      <c r="FM173" s="1293"/>
      <c r="FN173" s="1293"/>
      <c r="FO173" s="1293"/>
      <c r="FP173" s="1293"/>
      <c r="FQ173" s="1293"/>
      <c r="FR173" s="1293"/>
      <c r="FS173" s="1293"/>
      <c r="FT173" s="1293"/>
      <c r="FU173" s="1293"/>
      <c r="FV173" s="1293"/>
      <c r="FW173" s="1293"/>
      <c r="FX173" s="1293"/>
      <c r="FY173" s="1484"/>
      <c r="FZ173" s="1484"/>
      <c r="GA173" s="1484"/>
      <c r="GB173" s="1481"/>
      <c r="GC173" s="1481"/>
      <c r="GD173" s="1481"/>
      <c r="GE173" s="1481"/>
      <c r="GF173" s="1481"/>
      <c r="GG173" s="1481"/>
      <c r="GH173" s="1481"/>
    </row>
    <row r="174" spans="144:190" s="1294" customFormat="1" x14ac:dyDescent="0.15">
      <c r="EN174" s="1481"/>
      <c r="EO174" s="1481"/>
      <c r="EP174" s="1481"/>
      <c r="EQ174" s="1481"/>
      <c r="ER174" s="1481"/>
      <c r="ES174" s="1481"/>
      <c r="ET174" s="1481"/>
      <c r="EU174" s="1481"/>
      <c r="EV174" s="1481"/>
      <c r="EW174" s="1481"/>
      <c r="EX174" s="1482"/>
      <c r="EY174" s="1482"/>
      <c r="EZ174" s="1483"/>
      <c r="FA174" s="1483"/>
      <c r="FB174" s="1293"/>
      <c r="FC174" s="1293"/>
      <c r="FD174" s="1459">
        <v>42348</v>
      </c>
      <c r="FE174" s="1458">
        <v>1</v>
      </c>
      <c r="FF174" s="1458">
        <v>75.5595</v>
      </c>
      <c r="FG174" s="1293"/>
      <c r="FH174" s="1293"/>
      <c r="FI174" s="1293"/>
      <c r="FJ174" s="1293"/>
      <c r="FK174" s="1293"/>
      <c r="FL174" s="1293"/>
      <c r="FM174" s="1293"/>
      <c r="FN174" s="1293"/>
      <c r="FO174" s="1293"/>
      <c r="FP174" s="1293"/>
      <c r="FQ174" s="1293"/>
      <c r="FR174" s="1293"/>
      <c r="FS174" s="1293"/>
      <c r="FT174" s="1293"/>
      <c r="FU174" s="1293"/>
      <c r="FV174" s="1293"/>
      <c r="FW174" s="1293"/>
      <c r="FX174" s="1293"/>
      <c r="FY174" s="1484"/>
      <c r="FZ174" s="1484"/>
      <c r="GA174" s="1484"/>
      <c r="GB174" s="1481"/>
      <c r="GC174" s="1481"/>
      <c r="GD174" s="1481"/>
      <c r="GE174" s="1481"/>
      <c r="GF174" s="1481"/>
      <c r="GG174" s="1481"/>
      <c r="GH174" s="1481"/>
    </row>
    <row r="175" spans="144:190" s="1294" customFormat="1" x14ac:dyDescent="0.15">
      <c r="EN175" s="1481"/>
      <c r="EO175" s="1481"/>
      <c r="EP175" s="1481"/>
      <c r="EQ175" s="1481"/>
      <c r="ER175" s="1481"/>
      <c r="ES175" s="1481"/>
      <c r="ET175" s="1481"/>
      <c r="EU175" s="1481"/>
      <c r="EV175" s="1481"/>
      <c r="EW175" s="1481"/>
      <c r="EX175" s="1482"/>
      <c r="EY175" s="1482"/>
      <c r="EZ175" s="1483"/>
      <c r="FA175" s="1483"/>
      <c r="FB175" s="1293"/>
      <c r="FC175" s="1293"/>
      <c r="FD175" s="1459">
        <v>42349</v>
      </c>
      <c r="FE175" s="1458">
        <v>1</v>
      </c>
      <c r="FF175" s="1458">
        <v>76.067400000000006</v>
      </c>
      <c r="FG175" s="1293"/>
      <c r="FH175" s="1293"/>
      <c r="FI175" s="1293"/>
      <c r="FJ175" s="1293"/>
      <c r="FK175" s="1293"/>
      <c r="FL175" s="1293"/>
      <c r="FM175" s="1293"/>
      <c r="FN175" s="1293"/>
      <c r="FO175" s="1293"/>
      <c r="FP175" s="1293"/>
      <c r="FQ175" s="1293"/>
      <c r="FR175" s="1293"/>
      <c r="FS175" s="1293"/>
      <c r="FT175" s="1293"/>
      <c r="FU175" s="1293"/>
      <c r="FV175" s="1293"/>
      <c r="FW175" s="1293"/>
      <c r="FX175" s="1293"/>
      <c r="FY175" s="1484"/>
      <c r="FZ175" s="1484"/>
      <c r="GA175" s="1484"/>
      <c r="GB175" s="1481"/>
      <c r="GC175" s="1481"/>
      <c r="GD175" s="1481"/>
      <c r="GE175" s="1481"/>
      <c r="GF175" s="1481"/>
      <c r="GG175" s="1481"/>
      <c r="GH175" s="1481"/>
    </row>
    <row r="176" spans="144:190" s="1294" customFormat="1" x14ac:dyDescent="0.15">
      <c r="EN176" s="1481"/>
      <c r="EO176" s="1481"/>
      <c r="EP176" s="1481"/>
      <c r="EQ176" s="1481"/>
      <c r="ER176" s="1481"/>
      <c r="ES176" s="1481"/>
      <c r="ET176" s="1481"/>
      <c r="EU176" s="1481"/>
      <c r="EV176" s="1481"/>
      <c r="EW176" s="1481"/>
      <c r="EX176" s="1482"/>
      <c r="EY176" s="1482"/>
      <c r="EZ176" s="1483"/>
      <c r="FA176" s="1483"/>
      <c r="FB176" s="1293"/>
      <c r="FC176" s="1293"/>
      <c r="FD176" s="1459">
        <v>42350</v>
      </c>
      <c r="FE176" s="1458">
        <v>1</v>
      </c>
      <c r="FF176" s="1458">
        <v>75.747200000000007</v>
      </c>
      <c r="FG176" s="1293"/>
      <c r="FH176" s="1293"/>
      <c r="FI176" s="1293"/>
      <c r="FJ176" s="1293"/>
      <c r="FK176" s="1293"/>
      <c r="FL176" s="1293"/>
      <c r="FM176" s="1293"/>
      <c r="FN176" s="1293"/>
      <c r="FO176" s="1293"/>
      <c r="FP176" s="1293"/>
      <c r="FQ176" s="1293"/>
      <c r="FR176" s="1293"/>
      <c r="FS176" s="1293"/>
      <c r="FT176" s="1293"/>
      <c r="FU176" s="1293"/>
      <c r="FV176" s="1293"/>
      <c r="FW176" s="1293"/>
      <c r="FX176" s="1293"/>
      <c r="FY176" s="1484"/>
      <c r="FZ176" s="1484"/>
      <c r="GA176" s="1484"/>
      <c r="GB176" s="1481"/>
      <c r="GC176" s="1481"/>
      <c r="GD176" s="1481"/>
      <c r="GE176" s="1481"/>
      <c r="GF176" s="1481"/>
      <c r="GG176" s="1481"/>
      <c r="GH176" s="1481"/>
    </row>
    <row r="177" spans="144:190" s="1294" customFormat="1" x14ac:dyDescent="0.15">
      <c r="EN177" s="1481"/>
      <c r="EO177" s="1481"/>
      <c r="EP177" s="1481"/>
      <c r="EQ177" s="1481"/>
      <c r="ER177" s="1481"/>
      <c r="ES177" s="1481"/>
      <c r="ET177" s="1481"/>
      <c r="EU177" s="1481"/>
      <c r="EV177" s="1481"/>
      <c r="EW177" s="1481"/>
      <c r="EX177" s="1482"/>
      <c r="EY177" s="1482"/>
      <c r="EZ177" s="1483"/>
      <c r="FA177" s="1483"/>
      <c r="FB177" s="1293"/>
      <c r="FC177" s="1293"/>
      <c r="FD177" s="1459">
        <v>42353</v>
      </c>
      <c r="FE177" s="1458">
        <v>1</v>
      </c>
      <c r="FF177" s="1458">
        <v>76.965900000000005</v>
      </c>
      <c r="FG177" s="1293"/>
      <c r="FH177" s="1293"/>
      <c r="FI177" s="1293"/>
      <c r="FJ177" s="1293"/>
      <c r="FK177" s="1293"/>
      <c r="FL177" s="1293"/>
      <c r="FM177" s="1293"/>
      <c r="FN177" s="1293"/>
      <c r="FO177" s="1293"/>
      <c r="FP177" s="1293"/>
      <c r="FQ177" s="1293"/>
      <c r="FR177" s="1293"/>
      <c r="FS177" s="1293"/>
      <c r="FT177" s="1293"/>
      <c r="FU177" s="1293"/>
      <c r="FV177" s="1293"/>
      <c r="FW177" s="1293"/>
      <c r="FX177" s="1293"/>
      <c r="FY177" s="1484"/>
      <c r="FZ177" s="1484"/>
      <c r="GA177" s="1484"/>
      <c r="GB177" s="1481"/>
      <c r="GC177" s="1481"/>
      <c r="GD177" s="1481"/>
      <c r="GE177" s="1481"/>
      <c r="GF177" s="1481"/>
      <c r="GG177" s="1481"/>
      <c r="GH177" s="1481"/>
    </row>
    <row r="178" spans="144:190" s="1294" customFormat="1" x14ac:dyDescent="0.15">
      <c r="EN178" s="1481"/>
      <c r="EO178" s="1481"/>
      <c r="EP178" s="1481"/>
      <c r="EQ178" s="1481"/>
      <c r="ER178" s="1481"/>
      <c r="ES178" s="1481"/>
      <c r="ET178" s="1481"/>
      <c r="EU178" s="1481"/>
      <c r="EV178" s="1481"/>
      <c r="EW178" s="1481"/>
      <c r="EX178" s="1482"/>
      <c r="EY178" s="1482"/>
      <c r="EZ178" s="1483"/>
      <c r="FA178" s="1483"/>
      <c r="FB178" s="1293"/>
      <c r="FC178" s="1293"/>
      <c r="FD178" s="1459">
        <v>42354</v>
      </c>
      <c r="FE178" s="1458">
        <v>1</v>
      </c>
      <c r="FF178" s="1458">
        <v>78.231200000000001</v>
      </c>
      <c r="FG178" s="1293"/>
      <c r="FH178" s="1293"/>
      <c r="FI178" s="1293"/>
      <c r="FJ178" s="1293"/>
      <c r="FK178" s="1293"/>
      <c r="FL178" s="1293"/>
      <c r="FM178" s="1293"/>
      <c r="FN178" s="1293"/>
      <c r="FO178" s="1293"/>
      <c r="FP178" s="1293"/>
      <c r="FQ178" s="1293"/>
      <c r="FR178" s="1293"/>
      <c r="FS178" s="1293"/>
      <c r="FT178" s="1293"/>
      <c r="FU178" s="1293"/>
      <c r="FV178" s="1293"/>
      <c r="FW178" s="1293"/>
      <c r="FX178" s="1293"/>
      <c r="FY178" s="1484"/>
      <c r="FZ178" s="1484"/>
      <c r="GA178" s="1484"/>
      <c r="GB178" s="1481"/>
      <c r="GC178" s="1481"/>
      <c r="GD178" s="1481"/>
      <c r="GE178" s="1481"/>
      <c r="GF178" s="1481"/>
      <c r="GG178" s="1481"/>
      <c r="GH178" s="1481"/>
    </row>
    <row r="179" spans="144:190" s="1294" customFormat="1" x14ac:dyDescent="0.15">
      <c r="EN179" s="1481"/>
      <c r="EO179" s="1481"/>
      <c r="EP179" s="1481"/>
      <c r="EQ179" s="1481"/>
      <c r="ER179" s="1481"/>
      <c r="ES179" s="1481"/>
      <c r="ET179" s="1481"/>
      <c r="EU179" s="1481"/>
      <c r="EV179" s="1481"/>
      <c r="EW179" s="1481"/>
      <c r="EX179" s="1482"/>
      <c r="EY179" s="1482"/>
      <c r="EZ179" s="1483"/>
      <c r="FA179" s="1483"/>
      <c r="FB179" s="1293"/>
      <c r="FC179" s="1293"/>
      <c r="FD179" s="1459">
        <v>42355</v>
      </c>
      <c r="FE179" s="1458">
        <v>1</v>
      </c>
      <c r="FF179" s="1458">
        <v>77.040000000000006</v>
      </c>
      <c r="FG179" s="1293"/>
      <c r="FH179" s="1293"/>
      <c r="FI179" s="1293"/>
      <c r="FJ179" s="1293"/>
      <c r="FK179" s="1293"/>
      <c r="FL179" s="1293"/>
      <c r="FM179" s="1293"/>
      <c r="FN179" s="1293"/>
      <c r="FO179" s="1293"/>
      <c r="FP179" s="1293"/>
      <c r="FQ179" s="1293"/>
      <c r="FR179" s="1293"/>
      <c r="FS179" s="1293"/>
      <c r="FT179" s="1293"/>
      <c r="FU179" s="1293"/>
      <c r="FV179" s="1293"/>
      <c r="FW179" s="1293"/>
      <c r="FX179" s="1293"/>
      <c r="FY179" s="1484"/>
      <c r="FZ179" s="1484"/>
      <c r="GA179" s="1484"/>
      <c r="GB179" s="1481"/>
      <c r="GC179" s="1481"/>
      <c r="GD179" s="1481"/>
      <c r="GE179" s="1481"/>
      <c r="GF179" s="1481"/>
      <c r="GG179" s="1481"/>
      <c r="GH179" s="1481"/>
    </row>
    <row r="180" spans="144:190" s="1294" customFormat="1" x14ac:dyDescent="0.15">
      <c r="EN180" s="1481"/>
      <c r="EO180" s="1481"/>
      <c r="EP180" s="1481"/>
      <c r="EQ180" s="1481"/>
      <c r="ER180" s="1481"/>
      <c r="ES180" s="1481"/>
      <c r="ET180" s="1481"/>
      <c r="EU180" s="1481"/>
      <c r="EV180" s="1481"/>
      <c r="EW180" s="1481"/>
      <c r="EX180" s="1482"/>
      <c r="EY180" s="1482"/>
      <c r="EZ180" s="1483"/>
      <c r="FA180" s="1483"/>
      <c r="FB180" s="1293"/>
      <c r="FC180" s="1293"/>
      <c r="FD180" s="1459">
        <v>42356</v>
      </c>
      <c r="FE180" s="1458">
        <v>1</v>
      </c>
      <c r="FF180" s="1458">
        <v>76.678799999999995</v>
      </c>
      <c r="FG180" s="1293"/>
      <c r="FH180" s="1293"/>
      <c r="FI180" s="1293"/>
      <c r="FJ180" s="1293"/>
      <c r="FK180" s="1293"/>
      <c r="FL180" s="1293"/>
      <c r="FM180" s="1293"/>
      <c r="FN180" s="1293"/>
      <c r="FO180" s="1293"/>
      <c r="FP180" s="1293"/>
      <c r="FQ180" s="1293"/>
      <c r="FR180" s="1293"/>
      <c r="FS180" s="1293"/>
      <c r="FT180" s="1293"/>
      <c r="FU180" s="1293"/>
      <c r="FV180" s="1293"/>
      <c r="FW180" s="1293"/>
      <c r="FX180" s="1293"/>
      <c r="FY180" s="1484"/>
      <c r="FZ180" s="1484"/>
      <c r="GA180" s="1484"/>
      <c r="GB180" s="1481"/>
      <c r="GC180" s="1481"/>
      <c r="GD180" s="1481"/>
      <c r="GE180" s="1481"/>
      <c r="GF180" s="1481"/>
      <c r="GG180" s="1481"/>
      <c r="GH180" s="1481"/>
    </row>
    <row r="181" spans="144:190" s="1294" customFormat="1" x14ac:dyDescent="0.15">
      <c r="EN181" s="1481"/>
      <c r="EO181" s="1481"/>
      <c r="EP181" s="1481"/>
      <c r="EQ181" s="1481"/>
      <c r="ER181" s="1481"/>
      <c r="ES181" s="1481"/>
      <c r="ET181" s="1481"/>
      <c r="EU181" s="1481"/>
      <c r="EV181" s="1481"/>
      <c r="EW181" s="1481"/>
      <c r="EX181" s="1482"/>
      <c r="EY181" s="1482"/>
      <c r="EZ181" s="1483"/>
      <c r="FA181" s="1483"/>
      <c r="FB181" s="1293"/>
      <c r="FC181" s="1293"/>
      <c r="FD181" s="1459">
        <v>42357</v>
      </c>
      <c r="FE181" s="1458">
        <v>1</v>
      </c>
      <c r="FF181" s="1458">
        <v>77.405199999999994</v>
      </c>
      <c r="FG181" s="1293"/>
      <c r="FH181" s="1293"/>
      <c r="FI181" s="1293"/>
      <c r="FJ181" s="1293"/>
      <c r="FK181" s="1293"/>
      <c r="FL181" s="1293"/>
      <c r="FM181" s="1293"/>
      <c r="FN181" s="1293"/>
      <c r="FO181" s="1293"/>
      <c r="FP181" s="1293"/>
      <c r="FQ181" s="1293"/>
      <c r="FR181" s="1293"/>
      <c r="FS181" s="1293"/>
      <c r="FT181" s="1293"/>
      <c r="FU181" s="1293"/>
      <c r="FV181" s="1293"/>
      <c r="FW181" s="1293"/>
      <c r="FX181" s="1293"/>
      <c r="FY181" s="1484"/>
      <c r="FZ181" s="1484"/>
      <c r="GA181" s="1484"/>
      <c r="GB181" s="1481"/>
      <c r="GC181" s="1481"/>
      <c r="GD181" s="1481"/>
      <c r="GE181" s="1481"/>
      <c r="GF181" s="1481"/>
      <c r="GG181" s="1481"/>
      <c r="GH181" s="1481"/>
    </row>
    <row r="182" spans="144:190" s="1294" customFormat="1" x14ac:dyDescent="0.15">
      <c r="EN182" s="1481"/>
      <c r="EO182" s="1481"/>
      <c r="EP182" s="1481"/>
      <c r="EQ182" s="1481"/>
      <c r="ER182" s="1481"/>
      <c r="ES182" s="1481"/>
      <c r="ET182" s="1481"/>
      <c r="EU182" s="1481"/>
      <c r="EV182" s="1481"/>
      <c r="EW182" s="1481"/>
      <c r="EX182" s="1482"/>
      <c r="EY182" s="1482"/>
      <c r="EZ182" s="1483"/>
      <c r="FA182" s="1483"/>
      <c r="FB182" s="1293"/>
      <c r="FC182" s="1293"/>
      <c r="FD182" s="1459">
        <v>42360</v>
      </c>
      <c r="FE182" s="1458">
        <v>1</v>
      </c>
      <c r="FF182" s="1458">
        <v>77.483000000000004</v>
      </c>
      <c r="FG182" s="1293"/>
      <c r="FH182" s="1293"/>
      <c r="FI182" s="1293"/>
      <c r="FJ182" s="1293"/>
      <c r="FK182" s="1293"/>
      <c r="FL182" s="1293"/>
      <c r="FM182" s="1293"/>
      <c r="FN182" s="1293"/>
      <c r="FO182" s="1293"/>
      <c r="FP182" s="1293"/>
      <c r="FQ182" s="1293"/>
      <c r="FR182" s="1293"/>
      <c r="FS182" s="1293"/>
      <c r="FT182" s="1293"/>
      <c r="FU182" s="1293"/>
      <c r="FV182" s="1293"/>
      <c r="FW182" s="1293"/>
      <c r="FX182" s="1293"/>
      <c r="FY182" s="1484"/>
      <c r="FZ182" s="1484"/>
      <c r="GA182" s="1484"/>
      <c r="GB182" s="1481"/>
      <c r="GC182" s="1481"/>
      <c r="GD182" s="1481"/>
      <c r="GE182" s="1481"/>
      <c r="GF182" s="1481"/>
      <c r="GG182" s="1481"/>
      <c r="GH182" s="1481"/>
    </row>
    <row r="183" spans="144:190" s="1294" customFormat="1" x14ac:dyDescent="0.15">
      <c r="EN183" s="1481"/>
      <c r="EO183" s="1481"/>
      <c r="EP183" s="1481"/>
      <c r="EQ183" s="1481"/>
      <c r="ER183" s="1481"/>
      <c r="ES183" s="1481"/>
      <c r="ET183" s="1481"/>
      <c r="EU183" s="1481"/>
      <c r="EV183" s="1481"/>
      <c r="EW183" s="1481"/>
      <c r="EX183" s="1482"/>
      <c r="EY183" s="1482"/>
      <c r="EZ183" s="1483"/>
      <c r="FA183" s="1483"/>
      <c r="FB183" s="1293"/>
      <c r="FC183" s="1293"/>
      <c r="FD183" s="1459">
        <v>42361</v>
      </c>
      <c r="FE183" s="1458">
        <v>1</v>
      </c>
      <c r="FF183" s="1458">
        <v>77.614500000000007</v>
      </c>
      <c r="FG183" s="1293"/>
      <c r="FH183" s="1293"/>
      <c r="FI183" s="1293"/>
      <c r="FJ183" s="1293"/>
      <c r="FK183" s="1293"/>
      <c r="FL183" s="1293"/>
      <c r="FM183" s="1293"/>
      <c r="FN183" s="1293"/>
      <c r="FO183" s="1293"/>
      <c r="FP183" s="1293"/>
      <c r="FQ183" s="1293"/>
      <c r="FR183" s="1293"/>
      <c r="FS183" s="1293"/>
      <c r="FT183" s="1293"/>
      <c r="FU183" s="1293"/>
      <c r="FV183" s="1293"/>
      <c r="FW183" s="1293"/>
      <c r="FX183" s="1293"/>
      <c r="FY183" s="1484"/>
      <c r="FZ183" s="1484"/>
      <c r="GA183" s="1484"/>
      <c r="GB183" s="1481"/>
      <c r="GC183" s="1481"/>
      <c r="GD183" s="1481"/>
      <c r="GE183" s="1481"/>
      <c r="GF183" s="1481"/>
      <c r="GG183" s="1481"/>
      <c r="GH183" s="1481"/>
    </row>
    <row r="184" spans="144:190" s="1294" customFormat="1" x14ac:dyDescent="0.15">
      <c r="EN184" s="1481"/>
      <c r="EO184" s="1481"/>
      <c r="EP184" s="1481"/>
      <c r="EQ184" s="1481"/>
      <c r="ER184" s="1481"/>
      <c r="ES184" s="1481"/>
      <c r="ET184" s="1481"/>
      <c r="EU184" s="1481"/>
      <c r="EV184" s="1481"/>
      <c r="EW184" s="1481"/>
      <c r="EX184" s="1482"/>
      <c r="EY184" s="1482"/>
      <c r="EZ184" s="1483"/>
      <c r="FA184" s="1483"/>
      <c r="FB184" s="1293"/>
      <c r="FC184" s="1293"/>
      <c r="FD184" s="1459">
        <v>42362</v>
      </c>
      <c r="FE184" s="1458">
        <v>1</v>
      </c>
      <c r="FF184" s="1458">
        <v>77.544300000000007</v>
      </c>
      <c r="FG184" s="1293"/>
      <c r="FH184" s="1293"/>
      <c r="FI184" s="1293"/>
      <c r="FJ184" s="1293"/>
      <c r="FK184" s="1293"/>
      <c r="FL184" s="1293"/>
      <c r="FM184" s="1293"/>
      <c r="FN184" s="1293"/>
      <c r="FO184" s="1293"/>
      <c r="FP184" s="1293"/>
      <c r="FQ184" s="1293"/>
      <c r="FR184" s="1293"/>
      <c r="FS184" s="1293"/>
      <c r="FT184" s="1293"/>
      <c r="FU184" s="1293"/>
      <c r="FV184" s="1293"/>
      <c r="FW184" s="1293"/>
      <c r="FX184" s="1293"/>
      <c r="FY184" s="1484"/>
      <c r="FZ184" s="1484"/>
      <c r="GA184" s="1484"/>
      <c r="GB184" s="1481"/>
      <c r="GC184" s="1481"/>
      <c r="GD184" s="1481"/>
      <c r="GE184" s="1481"/>
      <c r="GF184" s="1481"/>
      <c r="GG184" s="1481"/>
      <c r="GH184" s="1481"/>
    </row>
    <row r="185" spans="144:190" s="1294" customFormat="1" x14ac:dyDescent="0.15">
      <c r="EN185" s="1481"/>
      <c r="EO185" s="1481"/>
      <c r="EP185" s="1481"/>
      <c r="EQ185" s="1481"/>
      <c r="ER185" s="1481"/>
      <c r="ES185" s="1481"/>
      <c r="ET185" s="1481"/>
      <c r="EU185" s="1481"/>
      <c r="EV185" s="1481"/>
      <c r="EW185" s="1481"/>
      <c r="EX185" s="1482"/>
      <c r="EY185" s="1482"/>
      <c r="EZ185" s="1483"/>
      <c r="FA185" s="1483"/>
      <c r="FB185" s="1293"/>
      <c r="FC185" s="1293"/>
      <c r="FD185" s="1459">
        <v>42363</v>
      </c>
      <c r="FE185" s="1458">
        <v>1</v>
      </c>
      <c r="FF185" s="1458">
        <v>76.0441</v>
      </c>
      <c r="FG185" s="1293"/>
      <c r="FH185" s="1293"/>
      <c r="FI185" s="1293"/>
      <c r="FJ185" s="1293"/>
      <c r="FK185" s="1293"/>
      <c r="FL185" s="1293"/>
      <c r="FM185" s="1293"/>
      <c r="FN185" s="1293"/>
      <c r="FO185" s="1293"/>
      <c r="FP185" s="1293"/>
      <c r="FQ185" s="1293"/>
      <c r="FR185" s="1293"/>
      <c r="FS185" s="1293"/>
      <c r="FT185" s="1293"/>
      <c r="FU185" s="1293"/>
      <c r="FV185" s="1293"/>
      <c r="FW185" s="1293"/>
      <c r="FX185" s="1293"/>
      <c r="FY185" s="1484"/>
      <c r="FZ185" s="1484"/>
      <c r="GA185" s="1484"/>
      <c r="GB185" s="1481"/>
      <c r="GC185" s="1481"/>
      <c r="GD185" s="1481"/>
      <c r="GE185" s="1481"/>
      <c r="GF185" s="1481"/>
      <c r="GG185" s="1481"/>
      <c r="GH185" s="1481"/>
    </row>
    <row r="186" spans="144:190" s="1294" customFormat="1" x14ac:dyDescent="0.15">
      <c r="EN186" s="1481"/>
      <c r="EO186" s="1481"/>
      <c r="EP186" s="1481"/>
      <c r="EQ186" s="1481"/>
      <c r="ER186" s="1481"/>
      <c r="ES186" s="1481"/>
      <c r="ET186" s="1481"/>
      <c r="EU186" s="1481"/>
      <c r="EV186" s="1481"/>
      <c r="EW186" s="1481"/>
      <c r="EX186" s="1482"/>
      <c r="EY186" s="1482"/>
      <c r="EZ186" s="1483"/>
      <c r="FA186" s="1483"/>
      <c r="FB186" s="1293"/>
      <c r="FC186" s="1293"/>
      <c r="FD186" s="1459">
        <v>42364</v>
      </c>
      <c r="FE186" s="1458">
        <v>1</v>
      </c>
      <c r="FF186" s="1458">
        <v>77.05</v>
      </c>
      <c r="FG186" s="1293"/>
      <c r="FH186" s="1293"/>
      <c r="FI186" s="1293"/>
      <c r="FJ186" s="1293"/>
      <c r="FK186" s="1293"/>
      <c r="FL186" s="1293"/>
      <c r="FM186" s="1293"/>
      <c r="FN186" s="1293"/>
      <c r="FO186" s="1293"/>
      <c r="FP186" s="1293"/>
      <c r="FQ186" s="1293"/>
      <c r="FR186" s="1293"/>
      <c r="FS186" s="1293"/>
      <c r="FT186" s="1293"/>
      <c r="FU186" s="1293"/>
      <c r="FV186" s="1293"/>
      <c r="FW186" s="1293"/>
      <c r="FX186" s="1293"/>
      <c r="FY186" s="1484"/>
      <c r="FZ186" s="1484"/>
      <c r="GA186" s="1484"/>
      <c r="GB186" s="1481"/>
      <c r="GC186" s="1481"/>
      <c r="GD186" s="1481"/>
      <c r="GE186" s="1481"/>
      <c r="GF186" s="1481"/>
      <c r="GG186" s="1481"/>
      <c r="GH186" s="1481"/>
    </row>
    <row r="187" spans="144:190" s="1294" customFormat="1" x14ac:dyDescent="0.15">
      <c r="EN187" s="1481"/>
      <c r="EO187" s="1481"/>
      <c r="EP187" s="1481"/>
      <c r="EQ187" s="1481"/>
      <c r="ER187" s="1481"/>
      <c r="ES187" s="1481"/>
      <c r="ET187" s="1481"/>
      <c r="EU187" s="1481"/>
      <c r="EV187" s="1481"/>
      <c r="EW187" s="1481"/>
      <c r="EX187" s="1482"/>
      <c r="EY187" s="1482"/>
      <c r="EZ187" s="1483"/>
      <c r="FA187" s="1483"/>
      <c r="FB187" s="1293"/>
      <c r="FC187" s="1293"/>
      <c r="FD187" s="1459">
        <v>42367</v>
      </c>
      <c r="FE187" s="1458">
        <v>1</v>
      </c>
      <c r="FF187" s="1458">
        <v>77.603200000000001</v>
      </c>
      <c r="FG187" s="1293"/>
      <c r="FH187" s="1293"/>
      <c r="FI187" s="1293"/>
      <c r="FJ187" s="1293"/>
      <c r="FK187" s="1293"/>
      <c r="FL187" s="1293"/>
      <c r="FM187" s="1293"/>
      <c r="FN187" s="1293"/>
      <c r="FO187" s="1293"/>
      <c r="FP187" s="1293"/>
      <c r="FQ187" s="1293"/>
      <c r="FR187" s="1293"/>
      <c r="FS187" s="1293"/>
      <c r="FT187" s="1293"/>
      <c r="FU187" s="1293"/>
      <c r="FV187" s="1293"/>
      <c r="FW187" s="1293"/>
      <c r="FX187" s="1293"/>
      <c r="FY187" s="1484"/>
      <c r="FZ187" s="1484"/>
      <c r="GA187" s="1484"/>
      <c r="GB187" s="1481"/>
      <c r="GC187" s="1481"/>
      <c r="GD187" s="1481"/>
      <c r="GE187" s="1481"/>
      <c r="GF187" s="1481"/>
      <c r="GG187" s="1481"/>
      <c r="GH187" s="1481"/>
    </row>
    <row r="188" spans="144:190" s="1294" customFormat="1" x14ac:dyDescent="0.15">
      <c r="EN188" s="1481"/>
      <c r="EO188" s="1481"/>
      <c r="EP188" s="1481"/>
      <c r="EQ188" s="1481"/>
      <c r="ER188" s="1481"/>
      <c r="ES188" s="1481"/>
      <c r="ET188" s="1481"/>
      <c r="EU188" s="1481"/>
      <c r="EV188" s="1481"/>
      <c r="EW188" s="1481"/>
      <c r="EX188" s="1482"/>
      <c r="EY188" s="1482"/>
      <c r="EZ188" s="1483"/>
      <c r="FA188" s="1483"/>
      <c r="FB188" s="1293"/>
      <c r="FC188" s="1293"/>
      <c r="FD188" s="1459">
        <v>42368</v>
      </c>
      <c r="FE188" s="1458">
        <v>1</v>
      </c>
      <c r="FF188" s="1458">
        <v>79.546999999999997</v>
      </c>
      <c r="FG188" s="1293"/>
      <c r="FH188" s="1293"/>
      <c r="FI188" s="1293"/>
      <c r="FJ188" s="1293"/>
      <c r="FK188" s="1293"/>
      <c r="FL188" s="1293"/>
      <c r="FM188" s="1293"/>
      <c r="FN188" s="1293"/>
      <c r="FO188" s="1293"/>
      <c r="FP188" s="1293"/>
      <c r="FQ188" s="1293"/>
      <c r="FR188" s="1293"/>
      <c r="FS188" s="1293"/>
      <c r="FT188" s="1293"/>
      <c r="FU188" s="1293"/>
      <c r="FV188" s="1293"/>
      <c r="FW188" s="1293"/>
      <c r="FX188" s="1293"/>
      <c r="FY188" s="1484"/>
      <c r="FZ188" s="1484"/>
      <c r="GA188" s="1484"/>
      <c r="GB188" s="1481"/>
      <c r="GC188" s="1481"/>
      <c r="GD188" s="1481"/>
      <c r="GE188" s="1481"/>
      <c r="GF188" s="1481"/>
      <c r="GG188" s="1481"/>
      <c r="GH188" s="1481"/>
    </row>
    <row r="189" spans="144:190" s="1294" customFormat="1" x14ac:dyDescent="0.15">
      <c r="EN189" s="1481"/>
      <c r="EO189" s="1481"/>
      <c r="EP189" s="1481"/>
      <c r="EQ189" s="1481"/>
      <c r="ER189" s="1481"/>
      <c r="ES189" s="1481"/>
      <c r="ET189" s="1481"/>
      <c r="EU189" s="1481"/>
      <c r="EV189" s="1481"/>
      <c r="EW189" s="1481"/>
      <c r="EX189" s="1482"/>
      <c r="EY189" s="1482"/>
      <c r="EZ189" s="1483"/>
      <c r="FA189" s="1483"/>
      <c r="FB189" s="1293"/>
      <c r="FC189" s="1293"/>
      <c r="FD189" s="1459">
        <v>42369</v>
      </c>
      <c r="FE189" s="1458">
        <v>1</v>
      </c>
      <c r="FF189" s="1458">
        <v>79.697199999999995</v>
      </c>
      <c r="FG189" s="1293"/>
      <c r="FH189" s="1293"/>
      <c r="FI189" s="1293"/>
      <c r="FJ189" s="1293"/>
      <c r="FK189" s="1293"/>
      <c r="FL189" s="1293"/>
      <c r="FM189" s="1293"/>
      <c r="FN189" s="1293"/>
      <c r="FO189" s="1293"/>
      <c r="FP189" s="1293"/>
      <c r="FQ189" s="1293"/>
      <c r="FR189" s="1293"/>
      <c r="FS189" s="1293"/>
      <c r="FT189" s="1293"/>
      <c r="FU189" s="1293"/>
      <c r="FV189" s="1293"/>
      <c r="FW189" s="1293"/>
      <c r="FX189" s="1293"/>
      <c r="FY189" s="1484"/>
      <c r="FZ189" s="1484"/>
      <c r="GA189" s="1484"/>
      <c r="GB189" s="1481"/>
      <c r="GC189" s="1481"/>
      <c r="GD189" s="1481"/>
      <c r="GE189" s="1481"/>
      <c r="GF189" s="1481"/>
      <c r="GG189" s="1481"/>
      <c r="GH189" s="1481"/>
    </row>
    <row r="190" spans="144:190" s="1295" customFormat="1" x14ac:dyDescent="0.25">
      <c r="EN190" s="1485"/>
      <c r="EO190" s="1485"/>
      <c r="EP190" s="1485"/>
      <c r="EQ190" s="1485"/>
      <c r="ER190" s="1485"/>
      <c r="ES190" s="1485"/>
      <c r="ET190" s="1485"/>
      <c r="EU190" s="1485"/>
      <c r="EV190" s="1485"/>
      <c r="EW190" s="1485"/>
      <c r="EX190" s="1486"/>
      <c r="EY190" s="1486"/>
      <c r="EZ190" s="1487"/>
      <c r="FA190" s="1487"/>
      <c r="FB190" s="1151"/>
      <c r="FC190" s="1151"/>
      <c r="FD190" s="1459">
        <v>42370</v>
      </c>
      <c r="FE190" s="1458">
        <v>1</v>
      </c>
      <c r="FF190" s="1458">
        <v>79.639499999999998</v>
      </c>
      <c r="FG190" s="1151"/>
      <c r="FH190" s="1151"/>
      <c r="FI190" s="1151"/>
      <c r="FJ190" s="1151"/>
      <c r="FK190" s="1151"/>
      <c r="FL190" s="1151"/>
      <c r="FM190" s="1151"/>
      <c r="FN190" s="1151"/>
      <c r="FO190" s="1151"/>
      <c r="FP190" s="1151"/>
      <c r="FQ190" s="1151"/>
      <c r="FR190" s="1151"/>
      <c r="FS190" s="1151"/>
      <c r="FT190" s="1151"/>
      <c r="FU190" s="1151"/>
      <c r="FV190" s="1151"/>
      <c r="FW190" s="1151"/>
      <c r="FX190" s="1151"/>
      <c r="FY190" s="1488"/>
      <c r="FZ190" s="1488"/>
      <c r="GA190" s="1488"/>
      <c r="GB190" s="1485"/>
      <c r="GC190" s="1485"/>
      <c r="GD190" s="1485"/>
      <c r="GE190" s="1485"/>
      <c r="GF190" s="1485"/>
      <c r="GG190" s="1485"/>
      <c r="GH190" s="1485"/>
    </row>
    <row r="191" spans="144:190" s="1295" customFormat="1" x14ac:dyDescent="0.25">
      <c r="EN191" s="1485"/>
      <c r="EO191" s="1485"/>
      <c r="EP191" s="1485"/>
      <c r="EQ191" s="1485"/>
      <c r="ER191" s="1485"/>
      <c r="ES191" s="1485"/>
      <c r="ET191" s="1485"/>
      <c r="EU191" s="1485"/>
      <c r="EV191" s="1485"/>
      <c r="EW191" s="1485"/>
      <c r="EX191" s="1486"/>
      <c r="EY191" s="1486"/>
      <c r="EZ191" s="1487"/>
      <c r="FA191" s="1487"/>
      <c r="FB191" s="1151"/>
      <c r="FC191" s="1151"/>
      <c r="FD191" s="1459">
        <v>42381</v>
      </c>
      <c r="FE191" s="1458">
        <v>1</v>
      </c>
      <c r="FF191" s="1458">
        <v>82.808999999999997</v>
      </c>
      <c r="FG191" s="1151"/>
      <c r="FH191" s="1151"/>
      <c r="FI191" s="1151"/>
      <c r="FJ191" s="1151"/>
      <c r="FK191" s="1151"/>
      <c r="FL191" s="1151"/>
      <c r="FM191" s="1151"/>
      <c r="FN191" s="1151"/>
      <c r="FO191" s="1151"/>
      <c r="FP191" s="1151"/>
      <c r="FQ191" s="1151"/>
      <c r="FR191" s="1151"/>
      <c r="FS191" s="1151"/>
      <c r="FT191" s="1151"/>
      <c r="FU191" s="1151"/>
      <c r="FV191" s="1151"/>
      <c r="FW191" s="1151"/>
      <c r="FX191" s="1151"/>
      <c r="FY191" s="1488"/>
      <c r="FZ191" s="1488"/>
      <c r="GA191" s="1488"/>
      <c r="GB191" s="1485"/>
      <c r="GC191" s="1485"/>
      <c r="GD191" s="1485"/>
      <c r="GE191" s="1485"/>
      <c r="GF191" s="1485"/>
      <c r="GG191" s="1485"/>
      <c r="GH191" s="1485"/>
    </row>
    <row r="192" spans="144:190" s="1295" customFormat="1" x14ac:dyDescent="0.25">
      <c r="EN192" s="1485"/>
      <c r="EO192" s="1485"/>
      <c r="EP192" s="1485"/>
      <c r="EQ192" s="1485"/>
      <c r="ER192" s="1485"/>
      <c r="ES192" s="1485"/>
      <c r="ET192" s="1485"/>
      <c r="EU192" s="1485"/>
      <c r="EV192" s="1485"/>
      <c r="EW192" s="1485"/>
      <c r="EX192" s="1486"/>
      <c r="EY192" s="1486"/>
      <c r="EZ192" s="1487"/>
      <c r="FA192" s="1487"/>
      <c r="FB192" s="1151"/>
      <c r="FC192" s="1151"/>
      <c r="FD192" s="1459">
        <v>42382</v>
      </c>
      <c r="FE192" s="1458">
        <v>1</v>
      </c>
      <c r="FF192" s="1458">
        <v>83.437200000000004</v>
      </c>
      <c r="FG192" s="1151"/>
      <c r="FH192" s="1151"/>
      <c r="FI192" s="1151"/>
      <c r="FJ192" s="1151"/>
      <c r="FK192" s="1151"/>
      <c r="FL192" s="1151"/>
      <c r="FM192" s="1151"/>
      <c r="FN192" s="1151"/>
      <c r="FO192" s="1151"/>
      <c r="FP192" s="1151"/>
      <c r="FQ192" s="1151"/>
      <c r="FR192" s="1151"/>
      <c r="FS192" s="1151"/>
      <c r="FT192" s="1151"/>
      <c r="FU192" s="1151"/>
      <c r="FV192" s="1151"/>
      <c r="FW192" s="1151"/>
      <c r="FX192" s="1151"/>
      <c r="FY192" s="1488"/>
      <c r="FZ192" s="1488"/>
      <c r="GA192" s="1488"/>
      <c r="GB192" s="1485"/>
      <c r="GC192" s="1485"/>
      <c r="GD192" s="1485"/>
      <c r="GE192" s="1485"/>
      <c r="GF192" s="1485"/>
      <c r="GG192" s="1485"/>
      <c r="GH192" s="1485"/>
    </row>
    <row r="193" spans="144:190" s="1295" customFormat="1" x14ac:dyDescent="0.25">
      <c r="EN193" s="1485"/>
      <c r="EO193" s="1485"/>
      <c r="EP193" s="1485"/>
      <c r="EQ193" s="1485"/>
      <c r="ER193" s="1485"/>
      <c r="ES193" s="1485"/>
      <c r="ET193" s="1485"/>
      <c r="EU193" s="1485"/>
      <c r="EV193" s="1485"/>
      <c r="EW193" s="1485"/>
      <c r="EX193" s="1486"/>
      <c r="EY193" s="1486"/>
      <c r="EZ193" s="1487"/>
      <c r="FA193" s="1487"/>
      <c r="FB193" s="1151"/>
      <c r="FC193" s="1151"/>
      <c r="FD193" s="1459">
        <v>42383</v>
      </c>
      <c r="FE193" s="1458">
        <v>1</v>
      </c>
      <c r="FF193" s="1458">
        <v>82.717500000000001</v>
      </c>
      <c r="FG193" s="1151"/>
      <c r="FH193" s="1151"/>
      <c r="FI193" s="1151"/>
      <c r="FJ193" s="1151"/>
      <c r="FK193" s="1151"/>
      <c r="FL193" s="1151"/>
      <c r="FM193" s="1151"/>
      <c r="FN193" s="1151"/>
      <c r="FO193" s="1151"/>
      <c r="FP193" s="1151"/>
      <c r="FQ193" s="1151"/>
      <c r="FR193" s="1151"/>
      <c r="FS193" s="1151"/>
      <c r="FT193" s="1151"/>
      <c r="FU193" s="1151"/>
      <c r="FV193" s="1151"/>
      <c r="FW193" s="1151"/>
      <c r="FX193" s="1151"/>
      <c r="FY193" s="1488"/>
      <c r="FZ193" s="1488"/>
      <c r="GA193" s="1488"/>
      <c r="GB193" s="1485"/>
      <c r="GC193" s="1485"/>
      <c r="GD193" s="1485"/>
      <c r="GE193" s="1485"/>
      <c r="GF193" s="1485"/>
      <c r="GG193" s="1485"/>
      <c r="GH193" s="1485"/>
    </row>
    <row r="194" spans="144:190" s="1295" customFormat="1" x14ac:dyDescent="0.25">
      <c r="EN194" s="1485"/>
      <c r="EO194" s="1485"/>
      <c r="EP194" s="1485"/>
      <c r="EQ194" s="1485"/>
      <c r="ER194" s="1485"/>
      <c r="ES194" s="1485"/>
      <c r="ET194" s="1485"/>
      <c r="EU194" s="1485"/>
      <c r="EV194" s="1485"/>
      <c r="EW194" s="1485"/>
      <c r="EX194" s="1486"/>
      <c r="EY194" s="1486"/>
      <c r="EZ194" s="1487"/>
      <c r="FA194" s="1487"/>
      <c r="FB194" s="1151"/>
      <c r="FC194" s="1151"/>
      <c r="FD194" s="1459">
        <v>42384</v>
      </c>
      <c r="FE194" s="1458">
        <v>1</v>
      </c>
      <c r="FF194" s="1458">
        <v>83.149900000000002</v>
      </c>
      <c r="FG194" s="1151"/>
      <c r="FH194" s="1151"/>
      <c r="FI194" s="1151"/>
      <c r="FJ194" s="1151"/>
      <c r="FK194" s="1151"/>
      <c r="FL194" s="1151"/>
      <c r="FM194" s="1151"/>
      <c r="FN194" s="1151"/>
      <c r="FO194" s="1151"/>
      <c r="FP194" s="1151"/>
      <c r="FQ194" s="1151"/>
      <c r="FR194" s="1151"/>
      <c r="FS194" s="1151"/>
      <c r="FT194" s="1151"/>
      <c r="FU194" s="1151"/>
      <c r="FV194" s="1151"/>
      <c r="FW194" s="1151"/>
      <c r="FX194" s="1151"/>
      <c r="FY194" s="1488"/>
      <c r="FZ194" s="1488"/>
      <c r="GA194" s="1488"/>
      <c r="GB194" s="1485"/>
      <c r="GC194" s="1485"/>
      <c r="GD194" s="1485"/>
      <c r="GE194" s="1485"/>
      <c r="GF194" s="1485"/>
      <c r="GG194" s="1485"/>
      <c r="GH194" s="1485"/>
    </row>
    <row r="195" spans="144:190" s="1295" customFormat="1" x14ac:dyDescent="0.25">
      <c r="EN195" s="1485"/>
      <c r="EO195" s="1485"/>
      <c r="EP195" s="1485"/>
      <c r="EQ195" s="1485"/>
      <c r="ER195" s="1485"/>
      <c r="ES195" s="1485"/>
      <c r="ET195" s="1485"/>
      <c r="EU195" s="1485"/>
      <c r="EV195" s="1485"/>
      <c r="EW195" s="1485"/>
      <c r="EX195" s="1486"/>
      <c r="EY195" s="1486"/>
      <c r="EZ195" s="1487"/>
      <c r="FA195" s="1487"/>
      <c r="FB195" s="1151"/>
      <c r="FC195" s="1151"/>
      <c r="FD195" s="1459">
        <v>42385</v>
      </c>
      <c r="FE195" s="1458">
        <v>1</v>
      </c>
      <c r="FF195" s="1458">
        <v>83.295100000000005</v>
      </c>
      <c r="FG195" s="1151"/>
      <c r="FH195" s="1151"/>
      <c r="FI195" s="1151"/>
      <c r="FJ195" s="1151"/>
      <c r="FK195" s="1151"/>
      <c r="FL195" s="1151"/>
      <c r="FM195" s="1151"/>
      <c r="FN195" s="1151"/>
      <c r="FO195" s="1151"/>
      <c r="FP195" s="1151"/>
      <c r="FQ195" s="1151"/>
      <c r="FR195" s="1151"/>
      <c r="FS195" s="1151"/>
      <c r="FT195" s="1151"/>
      <c r="FU195" s="1151"/>
      <c r="FV195" s="1151"/>
      <c r="FW195" s="1151"/>
      <c r="FX195" s="1151"/>
      <c r="FY195" s="1488"/>
      <c r="FZ195" s="1488"/>
      <c r="GA195" s="1488"/>
      <c r="GB195" s="1485"/>
      <c r="GC195" s="1485"/>
      <c r="GD195" s="1485"/>
      <c r="GE195" s="1485"/>
      <c r="GF195" s="1485"/>
      <c r="GG195" s="1485"/>
      <c r="GH195" s="1485"/>
    </row>
    <row r="196" spans="144:190" s="1295" customFormat="1" x14ac:dyDescent="0.25">
      <c r="EN196" s="1485"/>
      <c r="EO196" s="1485"/>
      <c r="EP196" s="1485"/>
      <c r="EQ196" s="1485"/>
      <c r="ER196" s="1485"/>
      <c r="ES196" s="1485"/>
      <c r="ET196" s="1485"/>
      <c r="EU196" s="1485"/>
      <c r="EV196" s="1485"/>
      <c r="EW196" s="1485"/>
      <c r="EX196" s="1486"/>
      <c r="EY196" s="1486"/>
      <c r="EZ196" s="1487"/>
      <c r="FA196" s="1487"/>
      <c r="FB196" s="1151"/>
      <c r="FC196" s="1151"/>
      <c r="FD196" s="1459">
        <v>42388</v>
      </c>
      <c r="FE196" s="1458">
        <v>1</v>
      </c>
      <c r="FF196" s="1458">
        <v>85.622</v>
      </c>
      <c r="FG196" s="1151"/>
      <c r="FH196" s="1151"/>
      <c r="FI196" s="1151"/>
      <c r="FJ196" s="1151"/>
      <c r="FK196" s="1151"/>
      <c r="FL196" s="1151"/>
      <c r="FM196" s="1151"/>
      <c r="FN196" s="1151"/>
      <c r="FO196" s="1151"/>
      <c r="FP196" s="1151"/>
      <c r="FQ196" s="1151"/>
      <c r="FR196" s="1151"/>
      <c r="FS196" s="1151"/>
      <c r="FT196" s="1151"/>
      <c r="FU196" s="1151"/>
      <c r="FV196" s="1151"/>
      <c r="FW196" s="1151"/>
      <c r="FX196" s="1151"/>
      <c r="FY196" s="1488"/>
      <c r="FZ196" s="1488"/>
      <c r="GA196" s="1488"/>
      <c r="GB196" s="1485"/>
      <c r="GC196" s="1485"/>
      <c r="GD196" s="1485"/>
      <c r="GE196" s="1485"/>
      <c r="GF196" s="1485"/>
      <c r="GG196" s="1485"/>
      <c r="GH196" s="1485"/>
    </row>
    <row r="197" spans="144:190" s="1295" customFormat="1" x14ac:dyDescent="0.25">
      <c r="EN197" s="1485"/>
      <c r="EO197" s="1485"/>
      <c r="EP197" s="1485"/>
      <c r="EQ197" s="1485"/>
      <c r="ER197" s="1485"/>
      <c r="ES197" s="1485"/>
      <c r="ET197" s="1485"/>
      <c r="EU197" s="1485"/>
      <c r="EV197" s="1485"/>
      <c r="EW197" s="1485"/>
      <c r="EX197" s="1486"/>
      <c r="EY197" s="1486"/>
      <c r="EZ197" s="1487"/>
      <c r="FA197" s="1487"/>
      <c r="FB197" s="1151"/>
      <c r="FC197" s="1151"/>
      <c r="FD197" s="1459">
        <v>42389</v>
      </c>
      <c r="FE197" s="1458">
        <v>1</v>
      </c>
      <c r="FF197" s="1458">
        <v>85.2988</v>
      </c>
      <c r="FG197" s="1151"/>
      <c r="FH197" s="1151"/>
      <c r="FI197" s="1151"/>
      <c r="FJ197" s="1151"/>
      <c r="FK197" s="1151"/>
      <c r="FL197" s="1151"/>
      <c r="FM197" s="1151"/>
      <c r="FN197" s="1151"/>
      <c r="FO197" s="1151"/>
      <c r="FP197" s="1151"/>
      <c r="FQ197" s="1151"/>
      <c r="FR197" s="1151"/>
      <c r="FS197" s="1151"/>
      <c r="FT197" s="1151"/>
      <c r="FU197" s="1151"/>
      <c r="FV197" s="1151"/>
      <c r="FW197" s="1151"/>
      <c r="FX197" s="1151"/>
      <c r="FY197" s="1488"/>
      <c r="FZ197" s="1488"/>
      <c r="GA197" s="1488"/>
      <c r="GB197" s="1485"/>
      <c r="GC197" s="1485"/>
      <c r="GD197" s="1485"/>
      <c r="GE197" s="1485"/>
      <c r="GF197" s="1485"/>
      <c r="GG197" s="1485"/>
      <c r="GH197" s="1485"/>
    </row>
    <row r="198" spans="144:190" s="1295" customFormat="1" x14ac:dyDescent="0.25">
      <c r="EN198" s="1485"/>
      <c r="EO198" s="1485"/>
      <c r="EP198" s="1485"/>
      <c r="EQ198" s="1485"/>
      <c r="ER198" s="1485"/>
      <c r="ES198" s="1485"/>
      <c r="ET198" s="1485"/>
      <c r="EU198" s="1485"/>
      <c r="EV198" s="1485"/>
      <c r="EW198" s="1485"/>
      <c r="EX198" s="1486"/>
      <c r="EY198" s="1486"/>
      <c r="EZ198" s="1487"/>
      <c r="FA198" s="1487"/>
      <c r="FB198" s="1151"/>
      <c r="FC198" s="1151"/>
      <c r="FD198" s="1459">
        <v>42390</v>
      </c>
      <c r="FE198" s="1458">
        <v>1</v>
      </c>
      <c r="FF198" s="1458">
        <v>87.034099999999995</v>
      </c>
      <c r="FG198" s="1151"/>
      <c r="FH198" s="1151"/>
      <c r="FI198" s="1151"/>
      <c r="FJ198" s="1151"/>
      <c r="FK198" s="1151"/>
      <c r="FL198" s="1151"/>
      <c r="FM198" s="1151"/>
      <c r="FN198" s="1151"/>
      <c r="FO198" s="1151"/>
      <c r="FP198" s="1151"/>
      <c r="FQ198" s="1151"/>
      <c r="FR198" s="1151"/>
      <c r="FS198" s="1151"/>
      <c r="FT198" s="1151"/>
      <c r="FU198" s="1151"/>
      <c r="FV198" s="1151"/>
      <c r="FW198" s="1151"/>
      <c r="FX198" s="1151"/>
      <c r="FY198" s="1488"/>
      <c r="FZ198" s="1488"/>
      <c r="GA198" s="1488"/>
      <c r="GB198" s="1485"/>
      <c r="GC198" s="1485"/>
      <c r="GD198" s="1485"/>
      <c r="GE198" s="1485"/>
      <c r="GF198" s="1485"/>
      <c r="GG198" s="1485"/>
      <c r="GH198" s="1485"/>
    </row>
    <row r="199" spans="144:190" s="1295" customFormat="1" x14ac:dyDescent="0.25">
      <c r="EN199" s="1485"/>
      <c r="EO199" s="1485"/>
      <c r="EP199" s="1485"/>
      <c r="EQ199" s="1485"/>
      <c r="ER199" s="1485"/>
      <c r="ES199" s="1485"/>
      <c r="ET199" s="1485"/>
      <c r="EU199" s="1485"/>
      <c r="EV199" s="1485"/>
      <c r="EW199" s="1485"/>
      <c r="EX199" s="1486"/>
      <c r="EY199" s="1486"/>
      <c r="EZ199" s="1487"/>
      <c r="FA199" s="1487"/>
      <c r="FB199" s="1151"/>
      <c r="FC199" s="1151"/>
      <c r="FD199" s="1459">
        <v>42391</v>
      </c>
      <c r="FE199" s="1458">
        <v>1</v>
      </c>
      <c r="FF199" s="1458">
        <v>91.181399999999996</v>
      </c>
      <c r="FG199" s="1151"/>
      <c r="FH199" s="1151"/>
      <c r="FI199" s="1151"/>
      <c r="FJ199" s="1151"/>
      <c r="FK199" s="1151"/>
      <c r="FL199" s="1151"/>
      <c r="FM199" s="1151"/>
      <c r="FN199" s="1151"/>
      <c r="FO199" s="1151"/>
      <c r="FP199" s="1151"/>
      <c r="FQ199" s="1151"/>
      <c r="FR199" s="1151"/>
      <c r="FS199" s="1151"/>
      <c r="FT199" s="1151"/>
      <c r="FU199" s="1151"/>
      <c r="FV199" s="1151"/>
      <c r="FW199" s="1151"/>
      <c r="FX199" s="1151"/>
      <c r="FY199" s="1488"/>
      <c r="FZ199" s="1488"/>
      <c r="GA199" s="1488"/>
      <c r="GB199" s="1485"/>
      <c r="GC199" s="1485"/>
      <c r="GD199" s="1485"/>
      <c r="GE199" s="1485"/>
      <c r="GF199" s="1485"/>
      <c r="GG199" s="1485"/>
      <c r="GH199" s="1485"/>
    </row>
    <row r="200" spans="144:190" s="1295" customFormat="1" x14ac:dyDescent="0.25">
      <c r="EN200" s="1485"/>
      <c r="EO200" s="1485"/>
      <c r="EP200" s="1485"/>
      <c r="EQ200" s="1485"/>
      <c r="ER200" s="1485"/>
      <c r="ES200" s="1485"/>
      <c r="ET200" s="1485"/>
      <c r="EU200" s="1485"/>
      <c r="EV200" s="1485"/>
      <c r="EW200" s="1485"/>
      <c r="EX200" s="1486"/>
      <c r="EY200" s="1486"/>
      <c r="EZ200" s="1487"/>
      <c r="FA200" s="1487"/>
      <c r="FB200" s="1151"/>
      <c r="FC200" s="1151"/>
      <c r="FD200" s="1459">
        <v>42392</v>
      </c>
      <c r="FE200" s="1458">
        <v>1</v>
      </c>
      <c r="FF200" s="1458">
        <v>87.226600000000005</v>
      </c>
      <c r="FG200" s="1151"/>
      <c r="FH200" s="1151"/>
      <c r="FI200" s="1151"/>
      <c r="FJ200" s="1151"/>
      <c r="FK200" s="1151"/>
      <c r="FL200" s="1151"/>
      <c r="FM200" s="1151"/>
      <c r="FN200" s="1151"/>
      <c r="FO200" s="1151"/>
      <c r="FP200" s="1151"/>
      <c r="FQ200" s="1151"/>
      <c r="FR200" s="1151"/>
      <c r="FS200" s="1151"/>
      <c r="FT200" s="1151"/>
      <c r="FU200" s="1151"/>
      <c r="FV200" s="1151"/>
      <c r="FW200" s="1151"/>
      <c r="FX200" s="1151"/>
      <c r="FY200" s="1488"/>
      <c r="FZ200" s="1488"/>
      <c r="GA200" s="1488"/>
      <c r="GB200" s="1485"/>
      <c r="GC200" s="1485"/>
      <c r="GD200" s="1485"/>
      <c r="GE200" s="1485"/>
      <c r="GF200" s="1485"/>
      <c r="GG200" s="1485"/>
      <c r="GH200" s="1485"/>
    </row>
    <row r="201" spans="144:190" s="1295" customFormat="1" x14ac:dyDescent="0.25">
      <c r="EN201" s="1485"/>
      <c r="EO201" s="1485"/>
      <c r="EP201" s="1485"/>
      <c r="EQ201" s="1485"/>
      <c r="ER201" s="1485"/>
      <c r="ES201" s="1485"/>
      <c r="ET201" s="1485"/>
      <c r="EU201" s="1485"/>
      <c r="EV201" s="1485"/>
      <c r="EW201" s="1485"/>
      <c r="EX201" s="1486"/>
      <c r="EY201" s="1486"/>
      <c r="EZ201" s="1487"/>
      <c r="FA201" s="1487"/>
      <c r="FB201" s="1151"/>
      <c r="FC201" s="1151"/>
      <c r="FD201" s="1459">
        <v>42395</v>
      </c>
      <c r="FE201" s="1458">
        <v>1</v>
      </c>
      <c r="FF201" s="1458">
        <v>84.160300000000007</v>
      </c>
      <c r="FG201" s="1151"/>
      <c r="FH201" s="1151"/>
      <c r="FI201" s="1151"/>
      <c r="FJ201" s="1151"/>
      <c r="FK201" s="1151"/>
      <c r="FL201" s="1151"/>
      <c r="FM201" s="1151"/>
      <c r="FN201" s="1151"/>
      <c r="FO201" s="1151"/>
      <c r="FP201" s="1151"/>
      <c r="FQ201" s="1151"/>
      <c r="FR201" s="1151"/>
      <c r="FS201" s="1151"/>
      <c r="FT201" s="1151"/>
      <c r="FU201" s="1151"/>
      <c r="FV201" s="1151"/>
      <c r="FW201" s="1151"/>
      <c r="FX201" s="1151"/>
      <c r="FY201" s="1488"/>
      <c r="FZ201" s="1488"/>
      <c r="GA201" s="1488"/>
      <c r="GB201" s="1485"/>
      <c r="GC201" s="1485"/>
      <c r="GD201" s="1485"/>
      <c r="GE201" s="1485"/>
      <c r="GF201" s="1485"/>
      <c r="GG201" s="1485"/>
      <c r="GH201" s="1485"/>
    </row>
    <row r="202" spans="144:190" s="1295" customFormat="1" x14ac:dyDescent="0.25">
      <c r="EN202" s="1485"/>
      <c r="EO202" s="1485"/>
      <c r="EP202" s="1485"/>
      <c r="EQ202" s="1485"/>
      <c r="ER202" s="1485"/>
      <c r="ES202" s="1485"/>
      <c r="ET202" s="1485"/>
      <c r="EU202" s="1485"/>
      <c r="EV202" s="1485"/>
      <c r="EW202" s="1485"/>
      <c r="EX202" s="1486"/>
      <c r="EY202" s="1486"/>
      <c r="EZ202" s="1487"/>
      <c r="FA202" s="1487"/>
      <c r="FB202" s="1151"/>
      <c r="FC202" s="1151"/>
      <c r="FD202" s="1459">
        <v>42396</v>
      </c>
      <c r="FE202" s="1458">
        <v>1</v>
      </c>
      <c r="FF202" s="1458">
        <v>88.885800000000003</v>
      </c>
      <c r="FG202" s="1151"/>
      <c r="FH202" s="1151"/>
      <c r="FI202" s="1151"/>
      <c r="FJ202" s="1151"/>
      <c r="FK202" s="1151"/>
      <c r="FL202" s="1151"/>
      <c r="FM202" s="1151"/>
      <c r="FN202" s="1151"/>
      <c r="FO202" s="1151"/>
      <c r="FP202" s="1151"/>
      <c r="FQ202" s="1151"/>
      <c r="FR202" s="1151"/>
      <c r="FS202" s="1151"/>
      <c r="FT202" s="1151"/>
      <c r="FU202" s="1151"/>
      <c r="FV202" s="1151"/>
      <c r="FW202" s="1151"/>
      <c r="FX202" s="1151"/>
      <c r="FY202" s="1488"/>
      <c r="FZ202" s="1488"/>
      <c r="GA202" s="1488"/>
      <c r="GB202" s="1485"/>
      <c r="GC202" s="1485"/>
      <c r="GD202" s="1485"/>
      <c r="GE202" s="1485"/>
      <c r="GF202" s="1485"/>
      <c r="GG202" s="1485"/>
      <c r="GH202" s="1485"/>
    </row>
    <row r="203" spans="144:190" s="1295" customFormat="1" x14ac:dyDescent="0.25">
      <c r="EN203" s="1485"/>
      <c r="EO203" s="1485"/>
      <c r="EP203" s="1485"/>
      <c r="EQ203" s="1485"/>
      <c r="ER203" s="1485"/>
      <c r="ES203" s="1485"/>
      <c r="ET203" s="1485"/>
      <c r="EU203" s="1485"/>
      <c r="EV203" s="1485"/>
      <c r="EW203" s="1485"/>
      <c r="EX203" s="1486"/>
      <c r="EY203" s="1486"/>
      <c r="EZ203" s="1487"/>
      <c r="FA203" s="1487"/>
      <c r="FB203" s="1151"/>
      <c r="FC203" s="1151"/>
      <c r="FD203" s="1459">
        <v>42397</v>
      </c>
      <c r="FE203" s="1458">
        <v>1</v>
      </c>
      <c r="FF203" s="1458">
        <v>85.8459</v>
      </c>
      <c r="FG203" s="1151"/>
      <c r="FH203" s="1151"/>
      <c r="FI203" s="1151"/>
      <c r="FJ203" s="1151"/>
      <c r="FK203" s="1151"/>
      <c r="FL203" s="1151"/>
      <c r="FM203" s="1151"/>
      <c r="FN203" s="1151"/>
      <c r="FO203" s="1151"/>
      <c r="FP203" s="1151"/>
      <c r="FQ203" s="1151"/>
      <c r="FR203" s="1151"/>
      <c r="FS203" s="1151"/>
      <c r="FT203" s="1151"/>
      <c r="FU203" s="1151"/>
      <c r="FV203" s="1151"/>
      <c r="FW203" s="1151"/>
      <c r="FX203" s="1151"/>
      <c r="FY203" s="1488"/>
      <c r="FZ203" s="1488"/>
      <c r="GA203" s="1488"/>
      <c r="GB203" s="1485"/>
      <c r="GC203" s="1485"/>
      <c r="GD203" s="1485"/>
      <c r="GE203" s="1485"/>
      <c r="GF203" s="1485"/>
      <c r="GG203" s="1485"/>
      <c r="GH203" s="1485"/>
    </row>
    <row r="204" spans="144:190" s="1295" customFormat="1" x14ac:dyDescent="0.25">
      <c r="EN204" s="1485"/>
      <c r="EO204" s="1485"/>
      <c r="EP204" s="1485"/>
      <c r="EQ204" s="1485"/>
      <c r="ER204" s="1485"/>
      <c r="ES204" s="1485"/>
      <c r="ET204" s="1485"/>
      <c r="EU204" s="1485"/>
      <c r="EV204" s="1485"/>
      <c r="EW204" s="1485"/>
      <c r="EX204" s="1486"/>
      <c r="EY204" s="1486"/>
      <c r="EZ204" s="1487"/>
      <c r="FA204" s="1487"/>
      <c r="FB204" s="1151"/>
      <c r="FC204" s="1151"/>
      <c r="FD204" s="1459">
        <v>42398</v>
      </c>
      <c r="FE204" s="1458">
        <v>1</v>
      </c>
      <c r="FF204" s="1458">
        <v>84.137</v>
      </c>
      <c r="FG204" s="1151"/>
      <c r="FH204" s="1151"/>
      <c r="FI204" s="1151"/>
      <c r="FJ204" s="1151"/>
      <c r="FK204" s="1151"/>
      <c r="FL204" s="1151"/>
      <c r="FM204" s="1151"/>
      <c r="FN204" s="1151"/>
      <c r="FO204" s="1151"/>
      <c r="FP204" s="1151"/>
      <c r="FQ204" s="1151"/>
      <c r="FR204" s="1151"/>
      <c r="FS204" s="1151"/>
      <c r="FT204" s="1151"/>
      <c r="FU204" s="1151"/>
      <c r="FV204" s="1151"/>
      <c r="FW204" s="1151"/>
      <c r="FX204" s="1151"/>
      <c r="FY204" s="1488"/>
      <c r="FZ204" s="1488"/>
      <c r="GA204" s="1488"/>
      <c r="GB204" s="1485"/>
      <c r="GC204" s="1485"/>
      <c r="GD204" s="1485"/>
      <c r="GE204" s="1485"/>
      <c r="GF204" s="1485"/>
      <c r="GG204" s="1485"/>
      <c r="GH204" s="1485"/>
    </row>
    <row r="205" spans="144:190" s="1295" customFormat="1" x14ac:dyDescent="0.25">
      <c r="EN205" s="1485"/>
      <c r="EO205" s="1485"/>
      <c r="EP205" s="1485"/>
      <c r="EQ205" s="1485"/>
      <c r="ER205" s="1485"/>
      <c r="ES205" s="1485"/>
      <c r="ET205" s="1485"/>
      <c r="EU205" s="1485"/>
      <c r="EV205" s="1485"/>
      <c r="EW205" s="1485"/>
      <c r="EX205" s="1486"/>
      <c r="EY205" s="1486"/>
      <c r="EZ205" s="1487"/>
      <c r="FA205" s="1487"/>
      <c r="FB205" s="1151"/>
      <c r="FC205" s="1151"/>
      <c r="FD205" s="1459">
        <v>42399</v>
      </c>
      <c r="FE205" s="1458">
        <v>1</v>
      </c>
      <c r="FF205" s="1458">
        <v>81.907700000000006</v>
      </c>
      <c r="FG205" s="1151"/>
      <c r="FH205" s="1151"/>
      <c r="FI205" s="1151"/>
      <c r="FJ205" s="1151"/>
      <c r="FK205" s="1151"/>
      <c r="FL205" s="1151"/>
      <c r="FM205" s="1151"/>
      <c r="FN205" s="1151"/>
      <c r="FO205" s="1151"/>
      <c r="FP205" s="1151"/>
      <c r="FQ205" s="1151"/>
      <c r="FR205" s="1151"/>
      <c r="FS205" s="1151"/>
      <c r="FT205" s="1151"/>
      <c r="FU205" s="1151"/>
      <c r="FV205" s="1151"/>
      <c r="FW205" s="1151"/>
      <c r="FX205" s="1151"/>
      <c r="FY205" s="1488"/>
      <c r="FZ205" s="1488"/>
      <c r="GA205" s="1488"/>
      <c r="GB205" s="1485"/>
      <c r="GC205" s="1485"/>
      <c r="GD205" s="1485"/>
      <c r="GE205" s="1485"/>
      <c r="GF205" s="1485"/>
      <c r="GG205" s="1485"/>
      <c r="GH205" s="1485"/>
    </row>
    <row r="206" spans="144:190" s="1295" customFormat="1" x14ac:dyDescent="0.25">
      <c r="EN206" s="1485"/>
      <c r="EO206" s="1485"/>
      <c r="EP206" s="1485"/>
      <c r="EQ206" s="1485"/>
      <c r="ER206" s="1485"/>
      <c r="ES206" s="1485"/>
      <c r="ET206" s="1485"/>
      <c r="EU206" s="1485"/>
      <c r="EV206" s="1485"/>
      <c r="EW206" s="1485"/>
      <c r="EX206" s="1486"/>
      <c r="EY206" s="1486"/>
      <c r="EZ206" s="1487"/>
      <c r="FA206" s="1487"/>
      <c r="FB206" s="1151"/>
      <c r="FC206" s="1151"/>
      <c r="FD206" s="1459">
        <v>42402</v>
      </c>
      <c r="FE206" s="1458">
        <v>1</v>
      </c>
      <c r="FF206" s="1458">
        <v>82.814099999999996</v>
      </c>
      <c r="FG206" s="1151"/>
      <c r="FH206" s="1151"/>
      <c r="FI206" s="1151"/>
      <c r="FJ206" s="1151"/>
      <c r="FK206" s="1151"/>
      <c r="FL206" s="1151"/>
      <c r="FM206" s="1151"/>
      <c r="FN206" s="1151"/>
      <c r="FO206" s="1151"/>
      <c r="FP206" s="1151"/>
      <c r="FQ206" s="1151"/>
      <c r="FR206" s="1151"/>
      <c r="FS206" s="1151"/>
      <c r="FT206" s="1151"/>
      <c r="FU206" s="1151"/>
      <c r="FV206" s="1151"/>
      <c r="FW206" s="1151"/>
      <c r="FX206" s="1151"/>
      <c r="FY206" s="1488"/>
      <c r="FZ206" s="1488"/>
      <c r="GA206" s="1488"/>
      <c r="GB206" s="1485"/>
      <c r="GC206" s="1485"/>
      <c r="GD206" s="1485"/>
      <c r="GE206" s="1485"/>
      <c r="GF206" s="1485"/>
      <c r="GG206" s="1485"/>
      <c r="GH206" s="1485"/>
    </row>
    <row r="207" spans="144:190" s="1295" customFormat="1" x14ac:dyDescent="0.25">
      <c r="EN207" s="1485"/>
      <c r="EO207" s="1485"/>
      <c r="EP207" s="1485"/>
      <c r="EQ207" s="1485"/>
      <c r="ER207" s="1485"/>
      <c r="ES207" s="1485"/>
      <c r="ET207" s="1485"/>
      <c r="EU207" s="1485"/>
      <c r="EV207" s="1485"/>
      <c r="EW207" s="1485"/>
      <c r="EX207" s="1486"/>
      <c r="EY207" s="1486"/>
      <c r="EZ207" s="1487"/>
      <c r="FA207" s="1487"/>
      <c r="FB207" s="1151"/>
      <c r="FC207" s="1151"/>
      <c r="FD207" s="1459">
        <v>42403</v>
      </c>
      <c r="FE207" s="1458">
        <v>1</v>
      </c>
      <c r="FF207" s="1458">
        <v>84.971900000000005</v>
      </c>
      <c r="FG207" s="1151"/>
      <c r="FH207" s="1151"/>
      <c r="FI207" s="1151"/>
      <c r="FJ207" s="1151"/>
      <c r="FK207" s="1151"/>
      <c r="FL207" s="1151"/>
      <c r="FM207" s="1151"/>
      <c r="FN207" s="1151"/>
      <c r="FO207" s="1151"/>
      <c r="FP207" s="1151"/>
      <c r="FQ207" s="1151"/>
      <c r="FR207" s="1151"/>
      <c r="FS207" s="1151"/>
      <c r="FT207" s="1151"/>
      <c r="FU207" s="1151"/>
      <c r="FV207" s="1151"/>
      <c r="FW207" s="1151"/>
      <c r="FX207" s="1151"/>
      <c r="FY207" s="1488"/>
      <c r="FZ207" s="1488"/>
      <c r="GA207" s="1488"/>
      <c r="GB207" s="1485"/>
      <c r="GC207" s="1485"/>
      <c r="GD207" s="1485"/>
      <c r="GE207" s="1485"/>
      <c r="GF207" s="1485"/>
      <c r="GG207" s="1485"/>
      <c r="GH207" s="1485"/>
    </row>
    <row r="208" spans="144:190" s="1295" customFormat="1" x14ac:dyDescent="0.25">
      <c r="EN208" s="1485"/>
      <c r="EO208" s="1485"/>
      <c r="EP208" s="1485"/>
      <c r="EQ208" s="1485"/>
      <c r="ER208" s="1485"/>
      <c r="ES208" s="1485"/>
      <c r="ET208" s="1485"/>
      <c r="EU208" s="1485"/>
      <c r="EV208" s="1485"/>
      <c r="EW208" s="1485"/>
      <c r="EX208" s="1486"/>
      <c r="EY208" s="1486"/>
      <c r="EZ208" s="1487"/>
      <c r="FA208" s="1487"/>
      <c r="FB208" s="1151"/>
      <c r="FC208" s="1151"/>
      <c r="FD208" s="1459">
        <v>42404</v>
      </c>
      <c r="FE208" s="1458">
        <v>1</v>
      </c>
      <c r="FF208" s="1458">
        <v>86.511499999999998</v>
      </c>
      <c r="FG208" s="1151"/>
      <c r="FH208" s="1151"/>
      <c r="FI208" s="1151"/>
      <c r="FJ208" s="1151"/>
      <c r="FK208" s="1151"/>
      <c r="FL208" s="1151"/>
      <c r="FM208" s="1151"/>
      <c r="FN208" s="1151"/>
      <c r="FO208" s="1151"/>
      <c r="FP208" s="1151"/>
      <c r="FQ208" s="1151"/>
      <c r="FR208" s="1151"/>
      <c r="FS208" s="1151"/>
      <c r="FT208" s="1151"/>
      <c r="FU208" s="1151"/>
      <c r="FV208" s="1151"/>
      <c r="FW208" s="1151"/>
      <c r="FX208" s="1151"/>
      <c r="FY208" s="1488"/>
      <c r="FZ208" s="1488"/>
      <c r="GA208" s="1488"/>
      <c r="GB208" s="1485"/>
      <c r="GC208" s="1485"/>
      <c r="GD208" s="1485"/>
      <c r="GE208" s="1485"/>
      <c r="GF208" s="1485"/>
      <c r="GG208" s="1485"/>
      <c r="GH208" s="1485"/>
    </row>
    <row r="209" spans="144:190" s="1295" customFormat="1" x14ac:dyDescent="0.25">
      <c r="EN209" s="1485"/>
      <c r="EO209" s="1485"/>
      <c r="EP209" s="1485"/>
      <c r="EQ209" s="1485"/>
      <c r="ER209" s="1485"/>
      <c r="ES209" s="1485"/>
      <c r="ET209" s="1485"/>
      <c r="EU209" s="1485"/>
      <c r="EV209" s="1485"/>
      <c r="EW209" s="1485"/>
      <c r="EX209" s="1486"/>
      <c r="EY209" s="1486"/>
      <c r="EZ209" s="1487"/>
      <c r="FA209" s="1487"/>
      <c r="FB209" s="1151"/>
      <c r="FC209" s="1151"/>
      <c r="FD209" s="1459">
        <v>42405</v>
      </c>
      <c r="FE209" s="1458">
        <v>1</v>
      </c>
      <c r="FF209" s="1458">
        <v>84.810400000000001</v>
      </c>
      <c r="FG209" s="1151"/>
      <c r="FH209" s="1151"/>
      <c r="FI209" s="1151"/>
      <c r="FJ209" s="1151"/>
      <c r="FK209" s="1151"/>
      <c r="FL209" s="1151"/>
      <c r="FM209" s="1151"/>
      <c r="FN209" s="1151"/>
      <c r="FO209" s="1151"/>
      <c r="FP209" s="1151"/>
      <c r="FQ209" s="1151"/>
      <c r="FR209" s="1151"/>
      <c r="FS209" s="1151"/>
      <c r="FT209" s="1151"/>
      <c r="FU209" s="1151"/>
      <c r="FV209" s="1151"/>
      <c r="FW209" s="1151"/>
      <c r="FX209" s="1151"/>
      <c r="FY209" s="1488"/>
      <c r="FZ209" s="1488"/>
      <c r="GA209" s="1488"/>
      <c r="GB209" s="1485"/>
      <c r="GC209" s="1485"/>
      <c r="GD209" s="1485"/>
      <c r="GE209" s="1485"/>
      <c r="GF209" s="1485"/>
      <c r="GG209" s="1485"/>
      <c r="GH209" s="1485"/>
    </row>
    <row r="210" spans="144:190" s="1295" customFormat="1" x14ac:dyDescent="0.25">
      <c r="EN210" s="1485"/>
      <c r="EO210" s="1485"/>
      <c r="EP210" s="1485"/>
      <c r="EQ210" s="1485"/>
      <c r="ER210" s="1485"/>
      <c r="ES210" s="1485"/>
      <c r="ET210" s="1485"/>
      <c r="EU210" s="1485"/>
      <c r="EV210" s="1485"/>
      <c r="EW210" s="1485"/>
      <c r="EX210" s="1486"/>
      <c r="EY210" s="1486"/>
      <c r="EZ210" s="1487"/>
      <c r="FA210" s="1487"/>
      <c r="FB210" s="1151"/>
      <c r="FC210" s="1151"/>
      <c r="FD210" s="1459">
        <v>42406</v>
      </c>
      <c r="FE210" s="1458">
        <v>1</v>
      </c>
      <c r="FF210" s="1458">
        <v>86.575400000000002</v>
      </c>
      <c r="FG210" s="1151"/>
      <c r="FH210" s="1151"/>
      <c r="FI210" s="1151"/>
      <c r="FJ210" s="1151"/>
      <c r="FK210" s="1151"/>
      <c r="FL210" s="1151"/>
      <c r="FM210" s="1151"/>
      <c r="FN210" s="1151"/>
      <c r="FO210" s="1151"/>
      <c r="FP210" s="1151"/>
      <c r="FQ210" s="1151"/>
      <c r="FR210" s="1151"/>
      <c r="FS210" s="1151"/>
      <c r="FT210" s="1151"/>
      <c r="FU210" s="1151"/>
      <c r="FV210" s="1151"/>
      <c r="FW210" s="1151"/>
      <c r="FX210" s="1151"/>
      <c r="FY210" s="1488"/>
      <c r="FZ210" s="1488"/>
      <c r="GA210" s="1488"/>
      <c r="GB210" s="1485"/>
      <c r="GC210" s="1485"/>
      <c r="GD210" s="1485"/>
      <c r="GE210" s="1485"/>
      <c r="GF210" s="1485"/>
      <c r="GG210" s="1485"/>
      <c r="GH210" s="1485"/>
    </row>
    <row r="211" spans="144:190" s="1295" customFormat="1" x14ac:dyDescent="0.25">
      <c r="EN211" s="1485"/>
      <c r="EO211" s="1485"/>
      <c r="EP211" s="1485"/>
      <c r="EQ211" s="1485"/>
      <c r="ER211" s="1485"/>
      <c r="ES211" s="1485"/>
      <c r="ET211" s="1485"/>
      <c r="EU211" s="1485"/>
      <c r="EV211" s="1485"/>
      <c r="EW211" s="1485"/>
      <c r="EX211" s="1486"/>
      <c r="EY211" s="1486"/>
      <c r="EZ211" s="1487"/>
      <c r="FA211" s="1487"/>
      <c r="FB211" s="1151"/>
      <c r="FC211" s="1151"/>
      <c r="FD211" s="1459">
        <v>42409</v>
      </c>
      <c r="FE211" s="1458">
        <v>1</v>
      </c>
      <c r="FF211" s="1458">
        <v>85.654300000000006</v>
      </c>
      <c r="FG211" s="1151"/>
      <c r="FH211" s="1151"/>
      <c r="FI211" s="1151"/>
      <c r="FJ211" s="1151"/>
      <c r="FK211" s="1151"/>
      <c r="FL211" s="1151"/>
      <c r="FM211" s="1151"/>
      <c r="FN211" s="1151"/>
      <c r="FO211" s="1151"/>
      <c r="FP211" s="1151"/>
      <c r="FQ211" s="1151"/>
      <c r="FR211" s="1151"/>
      <c r="FS211" s="1151"/>
      <c r="FT211" s="1151"/>
      <c r="FU211" s="1151"/>
      <c r="FV211" s="1151"/>
      <c r="FW211" s="1151"/>
      <c r="FX211" s="1151"/>
      <c r="FY211" s="1488"/>
      <c r="FZ211" s="1488"/>
      <c r="GA211" s="1488"/>
      <c r="GB211" s="1485"/>
      <c r="GC211" s="1485"/>
      <c r="GD211" s="1485"/>
      <c r="GE211" s="1485"/>
      <c r="GF211" s="1485"/>
      <c r="GG211" s="1485"/>
      <c r="GH211" s="1485"/>
    </row>
    <row r="212" spans="144:190" s="1295" customFormat="1" x14ac:dyDescent="0.25">
      <c r="EN212" s="1485"/>
      <c r="EO212" s="1485"/>
      <c r="EP212" s="1485"/>
      <c r="EQ212" s="1485"/>
      <c r="ER212" s="1485"/>
      <c r="ES212" s="1485"/>
      <c r="ET212" s="1485"/>
      <c r="EU212" s="1485"/>
      <c r="EV212" s="1485"/>
      <c r="EW212" s="1485"/>
      <c r="EX212" s="1486"/>
      <c r="EY212" s="1486"/>
      <c r="EZ212" s="1487"/>
      <c r="FA212" s="1487"/>
      <c r="FB212" s="1151"/>
      <c r="FC212" s="1151"/>
      <c r="FD212" s="1458"/>
      <c r="FE212" s="1458"/>
      <c r="FF212" s="1458"/>
      <c r="FG212" s="1151"/>
      <c r="FH212" s="1151"/>
      <c r="FI212" s="1151"/>
      <c r="FJ212" s="1151"/>
      <c r="FK212" s="1151"/>
      <c r="FL212" s="1151"/>
      <c r="FM212" s="1151"/>
      <c r="FN212" s="1151"/>
      <c r="FO212" s="1151"/>
      <c r="FP212" s="1151"/>
      <c r="FQ212" s="1151"/>
      <c r="FR212" s="1151"/>
      <c r="FS212" s="1151"/>
      <c r="FT212" s="1151"/>
      <c r="FU212" s="1151"/>
      <c r="FV212" s="1151"/>
      <c r="FW212" s="1151"/>
      <c r="FX212" s="1151"/>
      <c r="FY212" s="1488"/>
      <c r="FZ212" s="1488"/>
      <c r="GA212" s="1488"/>
      <c r="GB212" s="1485"/>
      <c r="GC212" s="1485"/>
      <c r="GD212" s="1485"/>
      <c r="GE212" s="1485"/>
      <c r="GF212" s="1485"/>
      <c r="GG212" s="1485"/>
      <c r="GH212" s="1485"/>
    </row>
    <row r="213" spans="144:190" s="1295" customFormat="1" x14ac:dyDescent="0.25">
      <c r="EN213" s="1485"/>
      <c r="EO213" s="1485"/>
      <c r="EP213" s="1485"/>
      <c r="EQ213" s="1485"/>
      <c r="ER213" s="1485"/>
      <c r="ES213" s="1485"/>
      <c r="ET213" s="1485"/>
      <c r="EU213" s="1485"/>
      <c r="EV213" s="1485"/>
      <c r="EW213" s="1485"/>
      <c r="EX213" s="1486"/>
      <c r="EY213" s="1486"/>
      <c r="EZ213" s="1487"/>
      <c r="FA213" s="1487"/>
      <c r="FB213" s="1151"/>
      <c r="FC213" s="1151"/>
      <c r="FD213" s="1458"/>
      <c r="FE213" s="1458"/>
      <c r="FF213" s="1458"/>
      <c r="FG213" s="1151"/>
      <c r="FH213" s="1151"/>
      <c r="FI213" s="1151"/>
      <c r="FJ213" s="1151"/>
      <c r="FK213" s="1151"/>
      <c r="FL213" s="1151"/>
      <c r="FM213" s="1151"/>
      <c r="FN213" s="1151"/>
      <c r="FO213" s="1151"/>
      <c r="FP213" s="1151"/>
      <c r="FQ213" s="1151"/>
      <c r="FR213" s="1151"/>
      <c r="FS213" s="1151"/>
      <c r="FT213" s="1151"/>
      <c r="FU213" s="1151"/>
      <c r="FV213" s="1151"/>
      <c r="FW213" s="1151"/>
      <c r="FX213" s="1151"/>
      <c r="FY213" s="1488"/>
      <c r="FZ213" s="1488"/>
      <c r="GA213" s="1488"/>
      <c r="GB213" s="1485"/>
      <c r="GC213" s="1485"/>
      <c r="GD213" s="1485"/>
      <c r="GE213" s="1485"/>
      <c r="GF213" s="1485"/>
      <c r="GG213" s="1485"/>
      <c r="GH213" s="1485"/>
    </row>
    <row r="214" spans="144:190" s="1295" customFormat="1" x14ac:dyDescent="0.25">
      <c r="EN214" s="1485"/>
      <c r="EO214" s="1485"/>
      <c r="EP214" s="1485"/>
      <c r="EQ214" s="1485"/>
      <c r="ER214" s="1485"/>
      <c r="ES214" s="1485"/>
      <c r="ET214" s="1485"/>
      <c r="EU214" s="1485"/>
      <c r="EV214" s="1485"/>
      <c r="EW214" s="1485"/>
      <c r="EX214" s="1486"/>
      <c r="EY214" s="1486"/>
      <c r="EZ214" s="1487"/>
      <c r="FA214" s="1487"/>
      <c r="FB214" s="1151"/>
      <c r="FC214" s="1151"/>
      <c r="FD214" s="1458"/>
      <c r="FE214" s="1458"/>
      <c r="FF214" s="1458"/>
      <c r="FG214" s="1151"/>
      <c r="FH214" s="1151"/>
      <c r="FI214" s="1151"/>
      <c r="FJ214" s="1151"/>
      <c r="FK214" s="1151"/>
      <c r="FL214" s="1151"/>
      <c r="FM214" s="1151"/>
      <c r="FN214" s="1151"/>
      <c r="FO214" s="1151"/>
      <c r="FP214" s="1151"/>
      <c r="FQ214" s="1151"/>
      <c r="FR214" s="1151"/>
      <c r="FS214" s="1151"/>
      <c r="FT214" s="1151"/>
      <c r="FU214" s="1151"/>
      <c r="FV214" s="1151"/>
      <c r="FW214" s="1151"/>
      <c r="FX214" s="1151"/>
      <c r="FY214" s="1488"/>
      <c r="FZ214" s="1488"/>
      <c r="GA214" s="1488"/>
      <c r="GB214" s="1485"/>
      <c r="GC214" s="1485"/>
      <c r="GD214" s="1485"/>
      <c r="GE214" s="1485"/>
      <c r="GF214" s="1485"/>
      <c r="GG214" s="1485"/>
      <c r="GH214" s="1485"/>
    </row>
    <row r="215" spans="144:190" s="1295" customFormat="1" x14ac:dyDescent="0.25">
      <c r="EN215" s="1485"/>
      <c r="EO215" s="1485"/>
      <c r="EP215" s="1485"/>
      <c r="EQ215" s="1485"/>
      <c r="ER215" s="1485"/>
      <c r="ES215" s="1485"/>
      <c r="ET215" s="1485"/>
      <c r="EU215" s="1485"/>
      <c r="EV215" s="1485"/>
      <c r="EW215" s="1485"/>
      <c r="EX215" s="1486"/>
      <c r="EY215" s="1486"/>
      <c r="EZ215" s="1487"/>
      <c r="FA215" s="1487"/>
      <c r="FB215" s="1151"/>
      <c r="FC215" s="1151"/>
      <c r="FD215" s="1458" t="s">
        <v>1886</v>
      </c>
      <c r="FE215" s="1458"/>
      <c r="FF215" s="1458"/>
      <c r="FG215" s="1151"/>
      <c r="FH215" s="1151"/>
      <c r="FI215" s="1151"/>
      <c r="FJ215" s="1151"/>
      <c r="FK215" s="1151"/>
      <c r="FL215" s="1151"/>
      <c r="FM215" s="1151"/>
      <c r="FN215" s="1151"/>
      <c r="FO215" s="1151"/>
      <c r="FP215" s="1151"/>
      <c r="FQ215" s="1151"/>
      <c r="FR215" s="1151"/>
      <c r="FS215" s="1151"/>
      <c r="FT215" s="1151"/>
      <c r="FU215" s="1151"/>
      <c r="FV215" s="1151"/>
      <c r="FW215" s="1151"/>
      <c r="FX215" s="1151"/>
      <c r="FY215" s="1488"/>
      <c r="FZ215" s="1488"/>
      <c r="GA215" s="1488"/>
      <c r="GB215" s="1485"/>
      <c r="GC215" s="1485"/>
      <c r="GD215" s="1485"/>
      <c r="GE215" s="1485"/>
      <c r="GF215" s="1485"/>
      <c r="GG215" s="1485"/>
      <c r="GH215" s="1485"/>
    </row>
    <row r="216" spans="144:190" s="1295" customFormat="1" x14ac:dyDescent="0.25">
      <c r="EN216" s="1485"/>
      <c r="EO216" s="1485"/>
      <c r="EP216" s="1485"/>
      <c r="EQ216" s="1485"/>
      <c r="ER216" s="1485"/>
      <c r="ES216" s="1485"/>
      <c r="ET216" s="1485"/>
      <c r="EU216" s="1485"/>
      <c r="EV216" s="1485"/>
      <c r="EW216" s="1485"/>
      <c r="EX216" s="1486"/>
      <c r="EY216" s="1486"/>
      <c r="EZ216" s="1487"/>
      <c r="FA216" s="1487"/>
      <c r="FB216" s="1151"/>
      <c r="FC216" s="1151"/>
      <c r="FD216" s="1458" t="s">
        <v>2565</v>
      </c>
      <c r="FE216" s="1458"/>
      <c r="FF216" s="1458"/>
      <c r="FG216" s="1151"/>
      <c r="FH216" s="1151"/>
      <c r="FI216" s="1151"/>
      <c r="FJ216" s="1151"/>
      <c r="FK216" s="1151"/>
      <c r="FL216" s="1151"/>
      <c r="FM216" s="1151"/>
      <c r="FN216" s="1151"/>
      <c r="FO216" s="1151"/>
      <c r="FP216" s="1151"/>
      <c r="FQ216" s="1151"/>
      <c r="FR216" s="1151"/>
      <c r="FS216" s="1151"/>
      <c r="FT216" s="1151"/>
      <c r="FU216" s="1151"/>
      <c r="FV216" s="1151"/>
      <c r="FW216" s="1151"/>
      <c r="FX216" s="1151"/>
      <c r="FY216" s="1488"/>
      <c r="FZ216" s="1488"/>
      <c r="GA216" s="1488"/>
      <c r="GB216" s="1485"/>
      <c r="GC216" s="1485"/>
      <c r="GD216" s="1485"/>
      <c r="GE216" s="1485"/>
      <c r="GF216" s="1485"/>
      <c r="GG216" s="1485"/>
      <c r="GH216" s="1485"/>
    </row>
    <row r="217" spans="144:190" s="1295" customFormat="1" x14ac:dyDescent="0.25">
      <c r="EN217" s="1485"/>
      <c r="EO217" s="1485"/>
      <c r="EP217" s="1485"/>
      <c r="EQ217" s="1485"/>
      <c r="ER217" s="1485"/>
      <c r="ES217" s="1485"/>
      <c r="ET217" s="1485"/>
      <c r="EU217" s="1485"/>
      <c r="EV217" s="1485"/>
      <c r="EW217" s="1485"/>
      <c r="EX217" s="1486"/>
      <c r="EY217" s="1486"/>
      <c r="EZ217" s="1487"/>
      <c r="FA217" s="1487"/>
      <c r="FB217" s="1151"/>
      <c r="FC217" s="1151"/>
      <c r="FD217" s="1458"/>
      <c r="FE217" s="1458"/>
      <c r="FF217" s="1458"/>
      <c r="FG217" s="1151"/>
      <c r="FH217" s="1151"/>
      <c r="FI217" s="1151"/>
      <c r="FJ217" s="1151"/>
      <c r="FK217" s="1151"/>
      <c r="FL217" s="1151"/>
      <c r="FM217" s="1151"/>
      <c r="FN217" s="1151"/>
      <c r="FO217" s="1151"/>
      <c r="FP217" s="1151"/>
      <c r="FQ217" s="1151"/>
      <c r="FR217" s="1151"/>
      <c r="FS217" s="1151"/>
      <c r="FT217" s="1151"/>
      <c r="FU217" s="1151"/>
      <c r="FV217" s="1151"/>
      <c r="FW217" s="1151"/>
      <c r="FX217" s="1151"/>
      <c r="FY217" s="1488"/>
      <c r="FZ217" s="1488"/>
      <c r="GA217" s="1488"/>
      <c r="GB217" s="1485"/>
      <c r="GC217" s="1485"/>
      <c r="GD217" s="1485"/>
      <c r="GE217" s="1485"/>
      <c r="GF217" s="1485"/>
      <c r="GG217" s="1485"/>
      <c r="GH217" s="1485"/>
    </row>
    <row r="218" spans="144:190" s="1295" customFormat="1" x14ac:dyDescent="0.25">
      <c r="EN218" s="1485"/>
      <c r="EO218" s="1485"/>
      <c r="EP218" s="1485"/>
      <c r="EQ218" s="1485"/>
      <c r="ER218" s="1485"/>
      <c r="ES218" s="1485"/>
      <c r="ET218" s="1485"/>
      <c r="EU218" s="1485"/>
      <c r="EV218" s="1485"/>
      <c r="EW218" s="1485"/>
      <c r="EX218" s="1486"/>
      <c r="EY218" s="1486"/>
      <c r="EZ218" s="1487"/>
      <c r="FA218" s="1487"/>
      <c r="FB218" s="1151"/>
      <c r="FC218" s="1151"/>
      <c r="FD218" s="1458"/>
      <c r="FE218" s="1458"/>
      <c r="FF218" s="1458"/>
      <c r="FG218" s="1151"/>
      <c r="FH218" s="1151"/>
      <c r="FI218" s="1151"/>
      <c r="FJ218" s="1151"/>
      <c r="FK218" s="1151"/>
      <c r="FL218" s="1151"/>
      <c r="FM218" s="1151"/>
      <c r="FN218" s="1151"/>
      <c r="FO218" s="1151"/>
      <c r="FP218" s="1151"/>
      <c r="FQ218" s="1151"/>
      <c r="FR218" s="1151"/>
      <c r="FS218" s="1151"/>
      <c r="FT218" s="1151"/>
      <c r="FU218" s="1151"/>
      <c r="FV218" s="1151"/>
      <c r="FW218" s="1151"/>
      <c r="FX218" s="1151"/>
      <c r="FY218" s="1488"/>
      <c r="FZ218" s="1488"/>
      <c r="GA218" s="1488"/>
      <c r="GB218" s="1485"/>
      <c r="GC218" s="1485"/>
      <c r="GD218" s="1485"/>
      <c r="GE218" s="1485"/>
      <c r="GF218" s="1485"/>
      <c r="GG218" s="1485"/>
      <c r="GH218" s="1485"/>
    </row>
    <row r="219" spans="144:190" s="1295" customFormat="1" x14ac:dyDescent="0.25">
      <c r="EN219" s="1485"/>
      <c r="EO219" s="1485"/>
      <c r="EP219" s="1485"/>
      <c r="EQ219" s="1485"/>
      <c r="ER219" s="1485"/>
      <c r="ES219" s="1485"/>
      <c r="ET219" s="1485"/>
      <c r="EU219" s="1485"/>
      <c r="EV219" s="1485"/>
      <c r="EW219" s="1485"/>
      <c r="EX219" s="1486"/>
      <c r="EY219" s="1486"/>
      <c r="EZ219" s="1487"/>
      <c r="FA219" s="1487"/>
      <c r="FB219" s="1151"/>
      <c r="FC219" s="1151"/>
      <c r="FD219" s="1458"/>
      <c r="FE219" s="1458"/>
      <c r="FF219" s="1458"/>
      <c r="FG219" s="1151"/>
      <c r="FH219" s="1151"/>
      <c r="FI219" s="1151"/>
      <c r="FJ219" s="1151"/>
      <c r="FK219" s="1151"/>
      <c r="FL219" s="1151"/>
      <c r="FM219" s="1151"/>
      <c r="FN219" s="1151"/>
      <c r="FO219" s="1151"/>
      <c r="FP219" s="1151"/>
      <c r="FQ219" s="1151"/>
      <c r="FR219" s="1151"/>
      <c r="FS219" s="1151"/>
      <c r="FT219" s="1151"/>
      <c r="FU219" s="1151"/>
      <c r="FV219" s="1151"/>
      <c r="FW219" s="1151"/>
      <c r="FX219" s="1151"/>
      <c r="FY219" s="1488"/>
      <c r="FZ219" s="1488"/>
      <c r="GA219" s="1488"/>
      <c r="GB219" s="1485"/>
      <c r="GC219" s="1485"/>
      <c r="GD219" s="1485"/>
      <c r="GE219" s="1485"/>
      <c r="GF219" s="1485"/>
      <c r="GG219" s="1485"/>
      <c r="GH219" s="1485"/>
    </row>
    <row r="220" spans="144:190" s="1295" customFormat="1" x14ac:dyDescent="0.25">
      <c r="EN220" s="1485"/>
      <c r="EO220" s="1485"/>
      <c r="EP220" s="1485"/>
      <c r="EQ220" s="1485"/>
      <c r="ER220" s="1485"/>
      <c r="ES220" s="1485"/>
      <c r="ET220" s="1485"/>
      <c r="EU220" s="1485"/>
      <c r="EV220" s="1485"/>
      <c r="EW220" s="1485"/>
      <c r="EX220" s="1486"/>
      <c r="EY220" s="1486"/>
      <c r="EZ220" s="1487"/>
      <c r="FA220" s="1487"/>
      <c r="FB220" s="1151"/>
      <c r="FC220" s="1151"/>
      <c r="FD220" s="1458"/>
      <c r="FE220" s="1458"/>
      <c r="FF220" s="1458"/>
      <c r="FG220" s="1151"/>
      <c r="FH220" s="1151"/>
      <c r="FI220" s="1151"/>
      <c r="FJ220" s="1151"/>
      <c r="FK220" s="1151"/>
      <c r="FL220" s="1151"/>
      <c r="FM220" s="1151"/>
      <c r="FN220" s="1151"/>
      <c r="FO220" s="1151"/>
      <c r="FP220" s="1151"/>
      <c r="FQ220" s="1151"/>
      <c r="FR220" s="1151"/>
      <c r="FS220" s="1151"/>
      <c r="FT220" s="1151"/>
      <c r="FU220" s="1151"/>
      <c r="FV220" s="1151"/>
      <c r="FW220" s="1151"/>
      <c r="FX220" s="1151"/>
      <c r="FY220" s="1488"/>
      <c r="FZ220" s="1488"/>
      <c r="GA220" s="1488"/>
      <c r="GB220" s="1485"/>
      <c r="GC220" s="1485"/>
      <c r="GD220" s="1485"/>
      <c r="GE220" s="1485"/>
      <c r="GF220" s="1485"/>
      <c r="GG220" s="1485"/>
      <c r="GH220" s="1485"/>
    </row>
    <row r="221" spans="144:190" s="1295" customFormat="1" x14ac:dyDescent="0.25">
      <c r="EN221" s="1485"/>
      <c r="EO221" s="1485"/>
      <c r="EP221" s="1485"/>
      <c r="EQ221" s="1485"/>
      <c r="ER221" s="1485"/>
      <c r="ES221" s="1485"/>
      <c r="ET221" s="1485"/>
      <c r="EU221" s="1485"/>
      <c r="EV221" s="1485"/>
      <c r="EW221" s="1485"/>
      <c r="EX221" s="1486"/>
      <c r="EY221" s="1486"/>
      <c r="EZ221" s="1487"/>
      <c r="FA221" s="1487"/>
      <c r="FB221" s="1151"/>
      <c r="FC221" s="1151"/>
      <c r="FD221" s="1458"/>
      <c r="FE221" s="1458"/>
      <c r="FF221" s="1458"/>
      <c r="FG221" s="1151"/>
      <c r="FH221" s="1151"/>
      <c r="FI221" s="1151"/>
      <c r="FJ221" s="1151"/>
      <c r="FK221" s="1151"/>
      <c r="FL221" s="1151"/>
      <c r="FM221" s="1151"/>
      <c r="FN221" s="1151"/>
      <c r="FO221" s="1151"/>
      <c r="FP221" s="1151"/>
      <c r="FQ221" s="1151"/>
      <c r="FR221" s="1151"/>
      <c r="FS221" s="1151"/>
      <c r="FT221" s="1151"/>
      <c r="FU221" s="1151"/>
      <c r="FV221" s="1151"/>
      <c r="FW221" s="1151"/>
      <c r="FX221" s="1151"/>
      <c r="FY221" s="1488"/>
      <c r="FZ221" s="1488"/>
      <c r="GA221" s="1488"/>
      <c r="GB221" s="1485"/>
      <c r="GC221" s="1485"/>
      <c r="GD221" s="1485"/>
      <c r="GE221" s="1485"/>
      <c r="GF221" s="1485"/>
      <c r="GG221" s="1485"/>
      <c r="GH221" s="1485"/>
    </row>
    <row r="222" spans="144:190" s="1295" customFormat="1" x14ac:dyDescent="0.25">
      <c r="EN222" s="1485"/>
      <c r="EO222" s="1485"/>
      <c r="EP222" s="1485"/>
      <c r="EQ222" s="1485"/>
      <c r="ER222" s="1485"/>
      <c r="ES222" s="1485"/>
      <c r="ET222" s="1485"/>
      <c r="EU222" s="1485"/>
      <c r="EV222" s="1485"/>
      <c r="EW222" s="1485"/>
      <c r="EX222" s="1486"/>
      <c r="EY222" s="1486"/>
      <c r="EZ222" s="1487"/>
      <c r="FA222" s="1487"/>
      <c r="FB222" s="1151"/>
      <c r="FC222" s="1151"/>
      <c r="FD222" s="1458"/>
      <c r="FE222" s="1458"/>
      <c r="FF222" s="1458"/>
      <c r="FG222" s="1151"/>
      <c r="FH222" s="1151"/>
      <c r="FI222" s="1151"/>
      <c r="FJ222" s="1151"/>
      <c r="FK222" s="1151"/>
      <c r="FL222" s="1151"/>
      <c r="FM222" s="1151"/>
      <c r="FN222" s="1151"/>
      <c r="FO222" s="1151"/>
      <c r="FP222" s="1151"/>
      <c r="FQ222" s="1151"/>
      <c r="FR222" s="1151"/>
      <c r="FS222" s="1151"/>
      <c r="FT222" s="1151"/>
      <c r="FU222" s="1151"/>
      <c r="FV222" s="1151"/>
      <c r="FW222" s="1151"/>
      <c r="FX222" s="1151"/>
      <c r="FY222" s="1488"/>
      <c r="FZ222" s="1488"/>
      <c r="GA222" s="1488"/>
      <c r="GB222" s="1485"/>
      <c r="GC222" s="1485"/>
      <c r="GD222" s="1485"/>
      <c r="GE222" s="1485"/>
      <c r="GF222" s="1485"/>
      <c r="GG222" s="1485"/>
      <c r="GH222" s="1485"/>
    </row>
    <row r="223" spans="144:190" s="1295" customFormat="1" x14ac:dyDescent="0.25">
      <c r="EN223" s="1485"/>
      <c r="EO223" s="1485"/>
      <c r="EP223" s="1485"/>
      <c r="EQ223" s="1485"/>
      <c r="ER223" s="1485"/>
      <c r="ES223" s="1485"/>
      <c r="ET223" s="1485"/>
      <c r="EU223" s="1485"/>
      <c r="EV223" s="1485"/>
      <c r="EW223" s="1485"/>
      <c r="EX223" s="1486"/>
      <c r="EY223" s="1486"/>
      <c r="EZ223" s="1487"/>
      <c r="FA223" s="1487"/>
      <c r="FB223" s="1151"/>
      <c r="FC223" s="1151"/>
      <c r="FD223" s="1458"/>
      <c r="FE223" s="1458"/>
      <c r="FF223" s="1458"/>
      <c r="FG223" s="1151"/>
      <c r="FH223" s="1151"/>
      <c r="FI223" s="1151"/>
      <c r="FJ223" s="1151"/>
      <c r="FK223" s="1151"/>
      <c r="FL223" s="1151"/>
      <c r="FM223" s="1151"/>
      <c r="FN223" s="1151"/>
      <c r="FO223" s="1151"/>
      <c r="FP223" s="1151"/>
      <c r="FQ223" s="1151"/>
      <c r="FR223" s="1151"/>
      <c r="FS223" s="1151"/>
      <c r="FT223" s="1151"/>
      <c r="FU223" s="1151"/>
      <c r="FV223" s="1151"/>
      <c r="FW223" s="1151"/>
      <c r="FX223" s="1151"/>
      <c r="FY223" s="1488"/>
      <c r="FZ223" s="1488"/>
      <c r="GA223" s="1488"/>
      <c r="GB223" s="1485"/>
      <c r="GC223" s="1485"/>
      <c r="GD223" s="1485"/>
      <c r="GE223" s="1485"/>
      <c r="GF223" s="1485"/>
      <c r="GG223" s="1485"/>
      <c r="GH223" s="1485"/>
    </row>
    <row r="224" spans="144:190" s="1295" customFormat="1" x14ac:dyDescent="0.25">
      <c r="EN224" s="1485"/>
      <c r="EO224" s="1485"/>
      <c r="EP224" s="1485"/>
      <c r="EQ224" s="1485"/>
      <c r="ER224" s="1485"/>
      <c r="ES224" s="1485"/>
      <c r="ET224" s="1485"/>
      <c r="EU224" s="1485"/>
      <c r="EV224" s="1485"/>
      <c r="EW224" s="1485"/>
      <c r="EX224" s="1486"/>
      <c r="EY224" s="1486"/>
      <c r="EZ224" s="1487"/>
      <c r="FA224" s="1487"/>
      <c r="FB224" s="1151"/>
      <c r="FC224" s="1151"/>
      <c r="FD224" s="1458"/>
      <c r="FE224" s="1458"/>
      <c r="FF224" s="1458"/>
      <c r="FG224" s="1151"/>
      <c r="FH224" s="1151"/>
      <c r="FI224" s="1151"/>
      <c r="FJ224" s="1151"/>
      <c r="FK224" s="1151"/>
      <c r="FL224" s="1151"/>
      <c r="FM224" s="1151"/>
      <c r="FN224" s="1151"/>
      <c r="FO224" s="1151"/>
      <c r="FP224" s="1151"/>
      <c r="FQ224" s="1151"/>
      <c r="FR224" s="1151"/>
      <c r="FS224" s="1151"/>
      <c r="FT224" s="1151"/>
      <c r="FU224" s="1151"/>
      <c r="FV224" s="1151"/>
      <c r="FW224" s="1151"/>
      <c r="FX224" s="1151"/>
      <c r="FY224" s="1488"/>
      <c r="FZ224" s="1488"/>
      <c r="GA224" s="1488"/>
      <c r="GB224" s="1485"/>
      <c r="GC224" s="1485"/>
      <c r="GD224" s="1485"/>
      <c r="GE224" s="1485"/>
      <c r="GF224" s="1485"/>
      <c r="GG224" s="1485"/>
      <c r="GH224" s="1485"/>
    </row>
    <row r="225" spans="1:190" s="1295" customFormat="1" x14ac:dyDescent="0.25">
      <c r="EN225" s="1485"/>
      <c r="EO225" s="1485"/>
      <c r="EP225" s="1485"/>
      <c r="EQ225" s="1485"/>
      <c r="ER225" s="1485"/>
      <c r="ES225" s="1485"/>
      <c r="ET225" s="1485"/>
      <c r="EU225" s="1485"/>
      <c r="EV225" s="1485"/>
      <c r="EW225" s="1485"/>
      <c r="EX225" s="1486"/>
      <c r="EY225" s="1486"/>
      <c r="EZ225" s="1487"/>
      <c r="FA225" s="1487"/>
      <c r="FB225" s="1151"/>
      <c r="FC225" s="1151"/>
      <c r="FD225" s="1458"/>
      <c r="FE225" s="1458"/>
      <c r="FF225" s="1458"/>
      <c r="FG225" s="1151"/>
      <c r="FH225" s="1151"/>
      <c r="FI225" s="1151"/>
      <c r="FJ225" s="1151"/>
      <c r="FK225" s="1151"/>
      <c r="FL225" s="1151"/>
      <c r="FM225" s="1151"/>
      <c r="FN225" s="1151"/>
      <c r="FO225" s="1151"/>
      <c r="FP225" s="1151"/>
      <c r="FQ225" s="1151"/>
      <c r="FR225" s="1151"/>
      <c r="FS225" s="1151"/>
      <c r="FT225" s="1151"/>
      <c r="FU225" s="1151"/>
      <c r="FV225" s="1151"/>
      <c r="FW225" s="1151"/>
      <c r="FX225" s="1151"/>
      <c r="FY225" s="1488"/>
      <c r="FZ225" s="1488"/>
      <c r="GA225" s="1488"/>
      <c r="GB225" s="1485"/>
      <c r="GC225" s="1485"/>
      <c r="GD225" s="1485"/>
      <c r="GE225" s="1485"/>
      <c r="GF225" s="1485"/>
      <c r="GG225" s="1485"/>
      <c r="GH225" s="1485"/>
    </row>
    <row r="226" spans="1:190" s="1295" customFormat="1" x14ac:dyDescent="0.25">
      <c r="EN226" s="1485"/>
      <c r="EO226" s="1485"/>
      <c r="EP226" s="1485"/>
      <c r="EQ226" s="1485"/>
      <c r="ER226" s="1485"/>
      <c r="ES226" s="1485"/>
      <c r="ET226" s="1485"/>
      <c r="EU226" s="1485"/>
      <c r="EV226" s="1485"/>
      <c r="EW226" s="1485"/>
      <c r="EX226" s="1486"/>
      <c r="EY226" s="1486"/>
      <c r="EZ226" s="1487"/>
      <c r="FA226" s="1487"/>
      <c r="FB226" s="1151"/>
      <c r="FC226" s="1151"/>
      <c r="FD226" s="1458"/>
      <c r="FE226" s="1458"/>
      <c r="FF226" s="1458"/>
      <c r="FG226" s="1151"/>
      <c r="FH226" s="1151"/>
      <c r="FI226" s="1151"/>
      <c r="FJ226" s="1151"/>
      <c r="FK226" s="1151"/>
      <c r="FL226" s="1151"/>
      <c r="FM226" s="1151"/>
      <c r="FN226" s="1151"/>
      <c r="FO226" s="1151"/>
      <c r="FP226" s="1151"/>
      <c r="FQ226" s="1151"/>
      <c r="FR226" s="1151"/>
      <c r="FS226" s="1151"/>
      <c r="FT226" s="1151"/>
      <c r="FU226" s="1151"/>
      <c r="FV226" s="1151"/>
      <c r="FW226" s="1151"/>
      <c r="FX226" s="1151"/>
      <c r="FY226" s="1488"/>
      <c r="FZ226" s="1488"/>
      <c r="GA226" s="1488"/>
      <c r="GB226" s="1485"/>
      <c r="GC226" s="1485"/>
      <c r="GD226" s="1485"/>
      <c r="GE226" s="1485"/>
      <c r="GF226" s="1485"/>
      <c r="GG226" s="1485"/>
      <c r="GH226" s="1485"/>
    </row>
    <row r="227" spans="1:190" s="1295" customFormat="1" x14ac:dyDescent="0.25">
      <c r="EN227" s="1485"/>
      <c r="EO227" s="1485"/>
      <c r="EP227" s="1485"/>
      <c r="EQ227" s="1485"/>
      <c r="ER227" s="1485"/>
      <c r="ES227" s="1485"/>
      <c r="ET227" s="1485"/>
      <c r="EU227" s="1485"/>
      <c r="EV227" s="1485"/>
      <c r="EW227" s="1485"/>
      <c r="EX227" s="1486"/>
      <c r="EY227" s="1486"/>
      <c r="EZ227" s="1487"/>
      <c r="FA227" s="1487"/>
      <c r="FB227" s="1151"/>
      <c r="FC227" s="1151"/>
      <c r="FD227" s="1458"/>
      <c r="FE227" s="1458"/>
      <c r="FF227" s="1458"/>
      <c r="FG227" s="1151"/>
      <c r="FH227" s="1151"/>
      <c r="FI227" s="1151"/>
      <c r="FJ227" s="1151"/>
      <c r="FK227" s="1151"/>
      <c r="FL227" s="1151"/>
      <c r="FM227" s="1151"/>
      <c r="FN227" s="1151"/>
      <c r="FO227" s="1151"/>
      <c r="FP227" s="1151"/>
      <c r="FQ227" s="1151"/>
      <c r="FR227" s="1151"/>
      <c r="FS227" s="1151"/>
      <c r="FT227" s="1151"/>
      <c r="FU227" s="1151"/>
      <c r="FV227" s="1151"/>
      <c r="FW227" s="1151"/>
      <c r="FX227" s="1151"/>
      <c r="FY227" s="1488"/>
      <c r="FZ227" s="1488"/>
      <c r="GA227" s="1488"/>
      <c r="GB227" s="1485"/>
      <c r="GC227" s="1485"/>
      <c r="GD227" s="1485"/>
      <c r="GE227" s="1485"/>
      <c r="GF227" s="1485"/>
      <c r="GG227" s="1485"/>
      <c r="GH227" s="1485"/>
    </row>
    <row r="228" spans="1:190" s="1295" customFormat="1" x14ac:dyDescent="0.25">
      <c r="EN228" s="1485"/>
      <c r="EO228" s="1485"/>
      <c r="EP228" s="1485"/>
      <c r="EQ228" s="1485"/>
      <c r="ER228" s="1485"/>
      <c r="ES228" s="1485"/>
      <c r="ET228" s="1485"/>
      <c r="EU228" s="1485"/>
      <c r="EV228" s="1485"/>
      <c r="EW228" s="1485"/>
      <c r="EX228" s="1486"/>
      <c r="EY228" s="1486"/>
      <c r="EZ228" s="1487"/>
      <c r="FA228" s="1487"/>
      <c r="FB228" s="1151"/>
      <c r="FC228" s="1151"/>
      <c r="FD228" s="1458"/>
      <c r="FE228" s="1458"/>
      <c r="FF228" s="1458"/>
      <c r="FG228" s="1151"/>
      <c r="FH228" s="1151"/>
      <c r="FI228" s="1151"/>
      <c r="FJ228" s="1151"/>
      <c r="FK228" s="1151"/>
      <c r="FL228" s="1151"/>
      <c r="FM228" s="1151"/>
      <c r="FN228" s="1151"/>
      <c r="FO228" s="1151"/>
      <c r="FP228" s="1151"/>
      <c r="FQ228" s="1151"/>
      <c r="FR228" s="1151"/>
      <c r="FS228" s="1151"/>
      <c r="FT228" s="1151"/>
      <c r="FU228" s="1151"/>
      <c r="FV228" s="1151"/>
      <c r="FW228" s="1151"/>
      <c r="FX228" s="1151"/>
      <c r="FY228" s="1488"/>
      <c r="FZ228" s="1488"/>
      <c r="GA228" s="1488"/>
      <c r="GB228" s="1485"/>
      <c r="GC228" s="1485"/>
      <c r="GD228" s="1485"/>
      <c r="GE228" s="1485"/>
      <c r="GF228" s="1485"/>
      <c r="GG228" s="1485"/>
      <c r="GH228" s="1485"/>
    </row>
    <row r="229" spans="1:190" s="1489" customFormat="1" ht="23.25" x14ac:dyDescent="0.35">
      <c r="EX229" s="1490"/>
      <c r="EY229" s="1490"/>
      <c r="EZ229" s="1490"/>
      <c r="FA229" s="1490"/>
      <c r="FB229" s="1151"/>
      <c r="FC229" s="1151"/>
      <c r="FD229" s="1458"/>
      <c r="FE229" s="1458"/>
      <c r="FF229" s="1458"/>
      <c r="FG229" s="1151"/>
      <c r="FH229" s="1151"/>
      <c r="FI229" s="1151"/>
      <c r="FJ229" s="1151"/>
      <c r="FK229" s="1151"/>
      <c r="FL229" s="1151"/>
      <c r="FM229" s="1151"/>
      <c r="FN229" s="1151"/>
      <c r="FO229" s="1151"/>
      <c r="FP229" s="1151"/>
      <c r="FQ229" s="1151"/>
      <c r="FR229" s="1151"/>
      <c r="FS229" s="1151"/>
      <c r="FT229" s="1151"/>
      <c r="FU229" s="1151"/>
      <c r="FV229" s="1151"/>
      <c r="FW229" s="1151"/>
      <c r="FX229" s="1151"/>
    </row>
    <row r="230" spans="1:190" s="1489" customFormat="1" ht="23.25" x14ac:dyDescent="0.35">
      <c r="EX230" s="1490"/>
      <c r="EY230" s="1490"/>
      <c r="EZ230" s="1490"/>
      <c r="FA230" s="1490"/>
      <c r="FB230" s="1151"/>
      <c r="FC230" s="1151"/>
      <c r="FD230" s="1458"/>
      <c r="FE230" s="1458"/>
      <c r="FF230" s="1458"/>
      <c r="FG230" s="1151"/>
      <c r="FH230" s="1151"/>
      <c r="FI230" s="1151"/>
      <c r="FJ230" s="1151"/>
      <c r="FK230" s="1151"/>
      <c r="FL230" s="1151"/>
      <c r="FM230" s="1151"/>
      <c r="FN230" s="1151"/>
      <c r="FO230" s="1151"/>
      <c r="FP230" s="1151"/>
      <c r="FQ230" s="1151"/>
      <c r="FR230" s="1151"/>
      <c r="FS230" s="1151"/>
      <c r="FT230" s="1151"/>
      <c r="FU230" s="1151"/>
      <c r="FV230" s="1151"/>
      <c r="FW230" s="1151"/>
      <c r="FX230" s="1151"/>
    </row>
    <row r="231" spans="1:190" s="1489" customFormat="1" ht="23.25" x14ac:dyDescent="0.35">
      <c r="EX231" s="1490"/>
      <c r="EY231" s="1490"/>
      <c r="EZ231" s="1490"/>
      <c r="FA231" s="1490"/>
      <c r="FB231" s="1151"/>
      <c r="FC231" s="1151"/>
      <c r="FD231" s="1458"/>
      <c r="FE231" s="1458"/>
      <c r="FF231" s="1458"/>
      <c r="FG231" s="1151"/>
      <c r="FH231" s="1151"/>
      <c r="FI231" s="1151"/>
      <c r="FJ231" s="1151"/>
      <c r="FK231" s="1151"/>
      <c r="FL231" s="1151"/>
      <c r="FM231" s="1151"/>
      <c r="FN231" s="1151"/>
      <c r="FO231" s="1151"/>
      <c r="FP231" s="1151"/>
      <c r="FQ231" s="1151"/>
      <c r="FR231" s="1151"/>
      <c r="FS231" s="1151"/>
      <c r="FT231" s="1151"/>
      <c r="FU231" s="1151"/>
      <c r="FV231" s="1151"/>
      <c r="FW231" s="1151"/>
      <c r="FX231" s="1151"/>
    </row>
    <row r="232" spans="1:190" s="1489" customFormat="1" ht="23.25" x14ac:dyDescent="0.35">
      <c r="EX232" s="1490"/>
      <c r="EY232" s="1490"/>
      <c r="EZ232" s="1490"/>
      <c r="FA232" s="1490"/>
      <c r="FB232" s="1151"/>
      <c r="FC232" s="1151"/>
      <c r="FD232" s="1458"/>
      <c r="FE232" s="1458"/>
      <c r="FF232" s="1458"/>
      <c r="FG232" s="1151"/>
      <c r="FH232" s="1151"/>
      <c r="FI232" s="1151"/>
      <c r="FJ232" s="1151"/>
      <c r="FK232" s="1151"/>
      <c r="FL232" s="1151"/>
      <c r="FM232" s="1151"/>
      <c r="FN232" s="1151"/>
      <c r="FO232" s="1151"/>
      <c r="FP232" s="1151"/>
      <c r="FQ232" s="1151"/>
      <c r="FR232" s="1151"/>
      <c r="FS232" s="1151"/>
      <c r="FT232" s="1151"/>
      <c r="FU232" s="1151"/>
      <c r="FV232" s="1151"/>
      <c r="FW232" s="1151"/>
      <c r="FX232" s="1151"/>
    </row>
    <row r="233" spans="1:190" s="1489" customFormat="1" ht="23.25" x14ac:dyDescent="0.35">
      <c r="EX233" s="1490"/>
      <c r="EY233" s="1490"/>
      <c r="EZ233" s="1490"/>
      <c r="FA233" s="1490"/>
      <c r="FB233" s="1151"/>
      <c r="FC233" s="1151"/>
      <c r="FD233" s="1458" t="s">
        <v>1887</v>
      </c>
      <c r="FE233" s="1458"/>
      <c r="FF233" s="1458"/>
      <c r="FG233" s="1151"/>
      <c r="FH233" s="1151"/>
      <c r="FI233" s="1151"/>
      <c r="FJ233" s="1151"/>
      <c r="FK233" s="1151"/>
      <c r="FL233" s="1151"/>
      <c r="FM233" s="1151"/>
      <c r="FN233" s="1151"/>
      <c r="FO233" s="1151"/>
      <c r="FP233" s="1151"/>
      <c r="FQ233" s="1151"/>
      <c r="FR233" s="1151"/>
      <c r="FS233" s="1151"/>
      <c r="FT233" s="1151"/>
      <c r="FU233" s="1151"/>
      <c r="FV233" s="1151"/>
      <c r="FW233" s="1151"/>
      <c r="FX233" s="1151"/>
    </row>
    <row r="234" spans="1:190" s="1489" customFormat="1" ht="23.25" x14ac:dyDescent="0.35">
      <c r="EX234" s="1490"/>
      <c r="EY234" s="1490"/>
      <c r="EZ234" s="1490"/>
      <c r="FA234" s="1490"/>
      <c r="FB234" s="1151"/>
      <c r="FC234" s="1151"/>
      <c r="FD234" s="1458" t="s">
        <v>1888</v>
      </c>
      <c r="FE234" s="1458"/>
      <c r="FF234" s="1458"/>
      <c r="FG234" s="1151"/>
      <c r="FH234" s="1151"/>
      <c r="FI234" s="1151"/>
      <c r="FJ234" s="1151"/>
      <c r="FK234" s="1151"/>
      <c r="FL234" s="1151"/>
      <c r="FM234" s="1151"/>
      <c r="FN234" s="1151"/>
      <c r="FO234" s="1151"/>
      <c r="FP234" s="1151"/>
      <c r="FQ234" s="1151"/>
      <c r="FR234" s="1151"/>
      <c r="FS234" s="1151"/>
      <c r="FT234" s="1151"/>
      <c r="FU234" s="1151"/>
      <c r="FV234" s="1151"/>
      <c r="FW234" s="1151"/>
      <c r="FX234" s="1151"/>
    </row>
    <row r="235" spans="1:190" s="1489" customFormat="1" ht="23.25" hidden="1" customHeight="1" x14ac:dyDescent="0.35">
      <c r="EX235" s="1490"/>
      <c r="EY235" s="1490"/>
      <c r="EZ235" s="1490"/>
      <c r="FA235" s="1490"/>
      <c r="FB235" s="1151"/>
      <c r="FC235" s="1151"/>
      <c r="FD235" s="1458" t="s">
        <v>1889</v>
      </c>
      <c r="FE235" s="1458"/>
      <c r="FF235" s="1458"/>
      <c r="FG235" s="1151"/>
      <c r="FH235" s="1151"/>
      <c r="FI235" s="1151"/>
      <c r="FJ235" s="1151"/>
      <c r="FK235" s="1151"/>
      <c r="FL235" s="1151"/>
      <c r="FM235" s="1151"/>
      <c r="FN235" s="1151"/>
      <c r="FO235" s="1151"/>
      <c r="FP235" s="1151"/>
      <c r="FQ235" s="1151"/>
      <c r="FR235" s="1151"/>
      <c r="FS235" s="1151"/>
      <c r="FT235" s="1151"/>
      <c r="FU235" s="1151"/>
      <c r="FV235" s="1151"/>
      <c r="FW235" s="1151"/>
      <c r="FX235" s="1151"/>
    </row>
    <row r="236" spans="1:190" s="1489" customFormat="1" ht="23.25" hidden="1" customHeight="1" x14ac:dyDescent="0.35">
      <c r="A236" s="1295"/>
      <c r="B236" s="1116" t="s">
        <v>1771</v>
      </c>
      <c r="C236" s="1116" t="s">
        <v>1897</v>
      </c>
      <c r="D236" s="1295"/>
      <c r="EX236" s="1490"/>
      <c r="EY236" s="1490"/>
      <c r="EZ236" s="1490"/>
      <c r="FA236" s="1490"/>
      <c r="FB236" s="1151"/>
      <c r="FC236" s="1151"/>
      <c r="FD236" s="1458" t="s">
        <v>1890</v>
      </c>
      <c r="FE236" s="1458"/>
      <c r="FF236" s="1458"/>
      <c r="FG236" s="1151"/>
      <c r="FH236" s="1151"/>
      <c r="FI236" s="1151"/>
      <c r="FJ236" s="1151"/>
      <c r="FK236" s="1151"/>
      <c r="FL236" s="1151"/>
      <c r="FM236" s="1151"/>
      <c r="FN236" s="1151"/>
      <c r="FO236" s="1151"/>
      <c r="FP236" s="1151"/>
      <c r="FQ236" s="1151"/>
      <c r="FR236" s="1151"/>
      <c r="FS236" s="1151"/>
      <c r="FT236" s="1151"/>
      <c r="FU236" s="1151"/>
      <c r="FV236" s="1151"/>
      <c r="FW236" s="1151"/>
      <c r="FX236" s="1151"/>
    </row>
    <row r="237" spans="1:190" s="1489" customFormat="1" ht="23.25" hidden="1" customHeight="1" x14ac:dyDescent="0.35">
      <c r="A237" s="1295"/>
      <c r="B237" s="1117" t="s">
        <v>1882</v>
      </c>
      <c r="C237" s="1154">
        <f ca="1">FU52</f>
        <v>3564.3183478736328</v>
      </c>
      <c r="D237" s="1295"/>
      <c r="EX237" s="1490"/>
      <c r="EY237" s="1490"/>
      <c r="EZ237" s="1490"/>
      <c r="FA237" s="1490"/>
      <c r="FB237" s="1151"/>
      <c r="FC237" s="1151"/>
      <c r="FD237" s="1458" t="s">
        <v>2485</v>
      </c>
      <c r="FE237" s="1458"/>
      <c r="FF237" s="1458"/>
      <c r="FG237" s="1151"/>
      <c r="FH237" s="1151"/>
      <c r="FI237" s="1151"/>
      <c r="FJ237" s="1151"/>
      <c r="FK237" s="1151"/>
      <c r="FL237" s="1151"/>
      <c r="FM237" s="1151"/>
      <c r="FN237" s="1151"/>
      <c r="FO237" s="1151"/>
      <c r="FP237" s="1151"/>
      <c r="FQ237" s="1151"/>
      <c r="FR237" s="1151"/>
      <c r="FS237" s="1151"/>
      <c r="FT237" s="1151"/>
      <c r="FU237" s="1151"/>
      <c r="FV237" s="1151"/>
      <c r="FW237" s="1151"/>
      <c r="FX237" s="1151"/>
    </row>
    <row r="238" spans="1:190" s="1489" customFormat="1" ht="23.25" hidden="1" customHeight="1" x14ac:dyDescent="0.35">
      <c r="A238" s="1295"/>
      <c r="B238" s="1117" t="s">
        <v>2006</v>
      </c>
      <c r="C238" s="1154">
        <f ca="1">FU54</f>
        <v>3115.324757540714</v>
      </c>
      <c r="D238" s="1295"/>
      <c r="EX238" s="1490"/>
      <c r="EY238" s="1490"/>
      <c r="EZ238" s="1490"/>
      <c r="FA238" s="1490"/>
      <c r="FB238" s="1151"/>
      <c r="FC238" s="1151"/>
      <c r="FD238" s="1458" t="s">
        <v>1891</v>
      </c>
      <c r="FE238" s="1458"/>
      <c r="FF238" s="1458"/>
      <c r="FG238" s="1151"/>
      <c r="FH238" s="1151"/>
      <c r="FI238" s="1151"/>
      <c r="FJ238" s="1151"/>
      <c r="FK238" s="1151"/>
      <c r="FL238" s="1151"/>
      <c r="FM238" s="1151"/>
      <c r="FN238" s="1151"/>
      <c r="FO238" s="1151"/>
      <c r="FP238" s="1151"/>
      <c r="FQ238" s="1151"/>
      <c r="FR238" s="1151"/>
      <c r="FS238" s="1151"/>
      <c r="FT238" s="1151"/>
      <c r="FU238" s="1151"/>
      <c r="FV238" s="1151"/>
      <c r="FW238" s="1151"/>
      <c r="FX238" s="1151"/>
    </row>
    <row r="239" spans="1:190" s="1489" customFormat="1" ht="23.25" hidden="1" customHeight="1" x14ac:dyDescent="0.35">
      <c r="A239" s="1295"/>
      <c r="B239" s="1117" t="s">
        <v>1884</v>
      </c>
      <c r="C239" s="1154">
        <f ca="1">FU55</f>
        <v>5802.3751504638667</v>
      </c>
      <c r="D239" s="1295"/>
      <c r="EX239" s="1490"/>
      <c r="EY239" s="1490"/>
      <c r="EZ239" s="1490"/>
      <c r="FA239" s="1490"/>
      <c r="FB239" s="1151"/>
      <c r="FC239" s="1151"/>
      <c r="FD239" s="1458"/>
      <c r="FE239" s="1458"/>
      <c r="FF239" s="1458"/>
      <c r="FG239" s="1151"/>
      <c r="FH239" s="1151"/>
      <c r="FI239" s="1151"/>
      <c r="FJ239" s="1151"/>
      <c r="FK239" s="1151"/>
      <c r="FL239" s="1151"/>
      <c r="FM239" s="1151"/>
      <c r="FN239" s="1151"/>
      <c r="FO239" s="1151"/>
      <c r="FP239" s="1151"/>
      <c r="FQ239" s="1151"/>
      <c r="FR239" s="1151"/>
      <c r="FS239" s="1151"/>
      <c r="FT239" s="1151"/>
      <c r="FU239" s="1151"/>
      <c r="FV239" s="1151"/>
      <c r="FW239" s="1151"/>
      <c r="FX239" s="1151"/>
    </row>
    <row r="240" spans="1:190" s="1489" customFormat="1" ht="23.25" hidden="1" customHeight="1" x14ac:dyDescent="0.35">
      <c r="A240" s="1295"/>
      <c r="B240" s="1117" t="s">
        <v>2007</v>
      </c>
      <c r="C240" s="1154">
        <f ca="1">FU56</f>
        <v>5387.9230839950278</v>
      </c>
      <c r="D240" s="1295"/>
      <c r="EX240" s="1490"/>
      <c r="EY240" s="1490"/>
      <c r="EZ240" s="1490"/>
      <c r="FA240" s="1490"/>
      <c r="FB240" s="1151"/>
      <c r="FC240" s="1151"/>
      <c r="FD240" s="1458" t="s">
        <v>1892</v>
      </c>
      <c r="FE240" s="1458"/>
      <c r="FF240" s="1458"/>
      <c r="FG240" s="1151"/>
      <c r="FH240" s="1151"/>
      <c r="FI240" s="1151"/>
      <c r="FJ240" s="1151"/>
      <c r="FK240" s="1151"/>
      <c r="FL240" s="1151"/>
      <c r="FM240" s="1151"/>
      <c r="FN240" s="1151"/>
      <c r="FO240" s="1151"/>
      <c r="FP240" s="1151"/>
      <c r="FQ240" s="1151"/>
      <c r="FR240" s="1151"/>
      <c r="FS240" s="1151"/>
      <c r="FT240" s="1151"/>
      <c r="FU240" s="1151"/>
      <c r="FV240" s="1151"/>
      <c r="FW240" s="1151"/>
      <c r="FX240" s="1151"/>
    </row>
    <row r="241" spans="1:180" s="1489" customFormat="1" ht="23.25" hidden="1" customHeight="1" x14ac:dyDescent="0.35">
      <c r="A241" s="1295"/>
      <c r="B241" s="1117" t="s">
        <v>2005</v>
      </c>
      <c r="C241" s="1154">
        <f ca="1">FU53</f>
        <v>3115.3247575407131</v>
      </c>
      <c r="D241" s="1295"/>
      <c r="EX241" s="1490"/>
      <c r="EY241" s="1490"/>
      <c r="EZ241" s="1490"/>
      <c r="FA241" s="1490"/>
      <c r="FB241" s="1151"/>
      <c r="FC241" s="1151"/>
      <c r="FD241" s="1458"/>
      <c r="FE241" s="1458"/>
      <c r="FF241" s="1458"/>
      <c r="FG241" s="1151"/>
      <c r="FH241" s="1151"/>
      <c r="FI241" s="1151"/>
      <c r="FJ241" s="1151"/>
      <c r="FK241" s="1151"/>
      <c r="FL241" s="1151"/>
      <c r="FM241" s="1151"/>
      <c r="FN241" s="1151"/>
      <c r="FO241" s="1151"/>
      <c r="FP241" s="1151"/>
      <c r="FQ241" s="1151"/>
      <c r="FR241" s="1151"/>
      <c r="FS241" s="1151"/>
      <c r="FT241" s="1151"/>
      <c r="FU241" s="1151"/>
      <c r="FV241" s="1151"/>
      <c r="FW241" s="1151"/>
      <c r="FX241" s="1151"/>
    </row>
    <row r="242" spans="1:180" s="1489" customFormat="1" ht="23.25" hidden="1" customHeight="1" x14ac:dyDescent="0.35">
      <c r="A242" s="1295"/>
      <c r="B242" s="1124" t="s">
        <v>2214</v>
      </c>
      <c r="C242" s="1154">
        <f ca="1">FU57</f>
        <v>8351.2942500000026</v>
      </c>
      <c r="D242" s="1295"/>
      <c r="EX242" s="1490"/>
      <c r="EY242" s="1490"/>
      <c r="EZ242" s="1490"/>
      <c r="FA242" s="1490"/>
      <c r="FB242" s="1151"/>
      <c r="FC242" s="1151"/>
      <c r="FD242" s="1458" t="s">
        <v>1893</v>
      </c>
      <c r="FE242" s="1458"/>
      <c r="FF242" s="1458"/>
      <c r="FG242" s="1151"/>
      <c r="FH242" s="1151"/>
      <c r="FI242" s="1151"/>
      <c r="FJ242" s="1151"/>
      <c r="FK242" s="1151"/>
      <c r="FL242" s="1151"/>
      <c r="FM242" s="1151"/>
      <c r="FN242" s="1151"/>
      <c r="FO242" s="1151"/>
      <c r="FP242" s="1151"/>
      <c r="FQ242" s="1151"/>
      <c r="FR242" s="1151"/>
      <c r="FS242" s="1151"/>
      <c r="FT242" s="1151"/>
      <c r="FU242" s="1151"/>
      <c r="FV242" s="1151"/>
      <c r="FW242" s="1151"/>
      <c r="FX242" s="1151"/>
    </row>
    <row r="243" spans="1:180" s="1489" customFormat="1" ht="23.25" hidden="1" customHeight="1" x14ac:dyDescent="0.35">
      <c r="A243" s="1295"/>
      <c r="B243" s="1124" t="s">
        <v>2215</v>
      </c>
      <c r="C243" s="1154">
        <f ca="1">FU58</f>
        <v>1027.8516000000034</v>
      </c>
      <c r="D243" s="1295"/>
      <c r="EX243" s="1490"/>
      <c r="EY243" s="1490"/>
      <c r="EZ243" s="1490"/>
      <c r="FA243" s="1490"/>
      <c r="FB243" s="1151"/>
      <c r="FC243" s="1151"/>
      <c r="FD243" s="1458"/>
      <c r="FE243" s="1458"/>
      <c r="FF243" s="1458"/>
      <c r="FG243" s="1151"/>
      <c r="FH243" s="1151"/>
      <c r="FI243" s="1151"/>
      <c r="FJ243" s="1151"/>
      <c r="FK243" s="1151"/>
      <c r="FL243" s="1151"/>
      <c r="FM243" s="1151"/>
      <c r="FN243" s="1151"/>
      <c r="FO243" s="1151"/>
      <c r="FP243" s="1151"/>
      <c r="FQ243" s="1151"/>
      <c r="FR243" s="1151"/>
      <c r="FS243" s="1151"/>
      <c r="FT243" s="1151"/>
      <c r="FU243" s="1151"/>
      <c r="FV243" s="1151"/>
      <c r="FW243" s="1151"/>
      <c r="FX243" s="1151"/>
    </row>
    <row r="244" spans="1:180" s="1489" customFormat="1" ht="23.25" hidden="1" customHeight="1" x14ac:dyDescent="0.35">
      <c r="A244" s="1295"/>
      <c r="B244" s="1124" t="s">
        <v>2216</v>
      </c>
      <c r="C244" s="1154">
        <f ca="1">FU59</f>
        <v>1027.8516000000034</v>
      </c>
      <c r="D244" s="1295"/>
      <c r="EX244" s="1490"/>
      <c r="EY244" s="1490"/>
      <c r="EZ244" s="1490"/>
      <c r="FA244" s="1490"/>
      <c r="FB244" s="1151"/>
      <c r="FC244" s="1151"/>
      <c r="FD244" s="1458" t="s">
        <v>2263</v>
      </c>
      <c r="FE244" s="1458"/>
      <c r="FF244" s="1458"/>
      <c r="FG244" s="1151"/>
      <c r="FH244" s="1151"/>
      <c r="FI244" s="1151"/>
      <c r="FJ244" s="1151"/>
      <c r="FK244" s="1151"/>
      <c r="FL244" s="1151"/>
      <c r="FM244" s="1151"/>
      <c r="FN244" s="1151"/>
      <c r="FO244" s="1151"/>
      <c r="FP244" s="1151"/>
      <c r="FQ244" s="1151"/>
      <c r="FR244" s="1151"/>
      <c r="FS244" s="1151"/>
      <c r="FT244" s="1151"/>
      <c r="FU244" s="1151"/>
      <c r="FV244" s="1151"/>
      <c r="FW244" s="1151"/>
      <c r="FX244" s="1151"/>
    </row>
    <row r="245" spans="1:180" s="1489" customFormat="1" ht="23.25" hidden="1" customHeight="1" x14ac:dyDescent="0.35">
      <c r="A245" s="1295"/>
      <c r="B245" s="1124" t="s">
        <v>2217</v>
      </c>
      <c r="C245" s="1154">
        <f ca="1">FU60</f>
        <v>1456.1231000000034</v>
      </c>
      <c r="D245" s="1295"/>
      <c r="EX245" s="1490"/>
      <c r="EY245" s="1490"/>
      <c r="EZ245" s="1490"/>
      <c r="FA245" s="1490"/>
      <c r="FB245" s="1151"/>
      <c r="FC245" s="1151"/>
      <c r="FD245" s="1458"/>
      <c r="FE245" s="1458"/>
      <c r="FF245" s="1458"/>
      <c r="FG245" s="1151"/>
      <c r="FH245" s="1151"/>
      <c r="FI245" s="1151"/>
      <c r="FJ245" s="1151"/>
      <c r="FK245" s="1151"/>
      <c r="FL245" s="1151"/>
      <c r="FM245" s="1151"/>
      <c r="FN245" s="1151"/>
      <c r="FO245" s="1151"/>
      <c r="FP245" s="1151"/>
      <c r="FQ245" s="1151"/>
      <c r="FR245" s="1151"/>
      <c r="FS245" s="1151"/>
      <c r="FT245" s="1151"/>
      <c r="FU245" s="1151"/>
      <c r="FV245" s="1151"/>
      <c r="FW245" s="1151"/>
      <c r="FX245" s="1151"/>
    </row>
    <row r="246" spans="1:180" s="1489" customFormat="1" ht="23.25" hidden="1" customHeight="1" x14ac:dyDescent="0.35">
      <c r="A246" s="1295"/>
      <c r="B246" s="1124" t="s">
        <v>2218</v>
      </c>
      <c r="C246" s="1154">
        <f ca="1">FU61</f>
        <v>1798.7403000000045</v>
      </c>
      <c r="D246" s="1295"/>
      <c r="EX246" s="1490"/>
      <c r="EY246" s="1490"/>
      <c r="EZ246" s="1490"/>
      <c r="FA246" s="1490"/>
      <c r="FB246" s="1151"/>
      <c r="FC246" s="1151"/>
      <c r="FD246" s="1458" t="s">
        <v>1894</v>
      </c>
      <c r="FE246" s="1458"/>
      <c r="FF246" s="1458"/>
      <c r="FG246" s="1151"/>
      <c r="FH246" s="1151"/>
      <c r="FI246" s="1151"/>
      <c r="FJ246" s="1151"/>
      <c r="FK246" s="1151"/>
      <c r="FL246" s="1151"/>
      <c r="FM246" s="1151"/>
      <c r="FN246" s="1151"/>
      <c r="FO246" s="1151"/>
      <c r="FP246" s="1151"/>
      <c r="FQ246" s="1151"/>
      <c r="FR246" s="1151"/>
      <c r="FS246" s="1151"/>
      <c r="FT246" s="1151"/>
      <c r="FU246" s="1151"/>
      <c r="FV246" s="1151"/>
      <c r="FW246" s="1151"/>
      <c r="FX246" s="1151"/>
    </row>
    <row r="247" spans="1:180" s="1489" customFormat="1" ht="23.25" hidden="1" customHeight="1" x14ac:dyDescent="0.35">
      <c r="EX247" s="1490"/>
      <c r="EY247" s="1490"/>
      <c r="EZ247" s="1490"/>
      <c r="FA247" s="1490"/>
      <c r="FB247" s="1151"/>
      <c r="FC247" s="1151"/>
      <c r="FD247" s="1458"/>
      <c r="FE247" s="1458"/>
      <c r="FF247" s="1458"/>
      <c r="FG247" s="1151"/>
      <c r="FH247" s="1151"/>
      <c r="FI247" s="1151"/>
      <c r="FJ247" s="1151"/>
      <c r="FK247" s="1151"/>
      <c r="FL247" s="1151"/>
      <c r="FM247" s="1151"/>
      <c r="FN247" s="1151"/>
      <c r="FO247" s="1151"/>
      <c r="FP247" s="1151"/>
      <c r="FQ247" s="1151"/>
      <c r="FR247" s="1151"/>
      <c r="FS247" s="1151"/>
      <c r="FT247" s="1151"/>
      <c r="FU247" s="1151"/>
      <c r="FV247" s="1151"/>
      <c r="FW247" s="1151"/>
      <c r="FX247" s="1151"/>
    </row>
    <row r="248" spans="1:180" s="1489" customFormat="1" ht="23.25" hidden="1" customHeight="1" x14ac:dyDescent="0.35">
      <c r="EX248" s="1490"/>
      <c r="EY248" s="1490"/>
      <c r="EZ248" s="1490"/>
      <c r="FA248" s="1490"/>
      <c r="FB248" s="1151"/>
      <c r="FC248" s="1151"/>
      <c r="FD248" s="1458" t="s">
        <v>1895</v>
      </c>
      <c r="FE248" s="1458"/>
      <c r="FF248" s="1458"/>
      <c r="FG248" s="1151"/>
      <c r="FH248" s="1151"/>
      <c r="FI248" s="1151"/>
      <c r="FJ248" s="1151"/>
      <c r="FK248" s="1151"/>
      <c r="FL248" s="1151"/>
      <c r="FM248" s="1151"/>
      <c r="FN248" s="1151"/>
      <c r="FO248" s="1151"/>
      <c r="FP248" s="1151"/>
      <c r="FQ248" s="1151"/>
      <c r="FR248" s="1151"/>
      <c r="FS248" s="1151"/>
      <c r="FT248" s="1151"/>
      <c r="FU248" s="1151"/>
      <c r="FV248" s="1151"/>
      <c r="FW248" s="1151"/>
      <c r="FX248" s="1151"/>
    </row>
    <row r="249" spans="1:180" s="1489" customFormat="1" ht="23.25" hidden="1" customHeight="1" x14ac:dyDescent="0.35">
      <c r="EX249" s="1490"/>
      <c r="EY249" s="1490"/>
      <c r="EZ249" s="1490"/>
      <c r="FA249" s="1490"/>
      <c r="FB249" s="1151"/>
      <c r="FC249" s="1151"/>
      <c r="FD249" s="1458"/>
      <c r="FE249" s="1458"/>
      <c r="FF249" s="1458"/>
      <c r="FG249" s="1151"/>
      <c r="FH249" s="1151"/>
      <c r="FI249" s="1151"/>
      <c r="FJ249" s="1151"/>
      <c r="FK249" s="1151"/>
      <c r="FL249" s="1151"/>
      <c r="FM249" s="1151"/>
      <c r="FN249" s="1151"/>
      <c r="FO249" s="1151"/>
      <c r="FP249" s="1151"/>
      <c r="FQ249" s="1151"/>
      <c r="FR249" s="1151"/>
      <c r="FS249" s="1151"/>
      <c r="FT249" s="1151"/>
      <c r="FU249" s="1151"/>
      <c r="FV249" s="1151"/>
      <c r="FW249" s="1151"/>
      <c r="FX249" s="1151"/>
    </row>
    <row r="250" spans="1:180" s="1489" customFormat="1" ht="23.25" hidden="1" customHeight="1" x14ac:dyDescent="0.35">
      <c r="EX250" s="1490"/>
      <c r="EY250" s="1490"/>
      <c r="EZ250" s="1490"/>
      <c r="FA250" s="1490"/>
      <c r="FB250" s="1151"/>
      <c r="FC250" s="1151"/>
      <c r="FD250" s="1458" t="s">
        <v>1896</v>
      </c>
      <c r="FE250" s="1458"/>
      <c r="FF250" s="1458"/>
      <c r="FG250" s="1151"/>
      <c r="FH250" s="1151"/>
      <c r="FI250" s="1151"/>
      <c r="FJ250" s="1151"/>
      <c r="FK250" s="1151"/>
      <c r="FL250" s="1151"/>
      <c r="FM250" s="1151"/>
      <c r="FN250" s="1151"/>
      <c r="FO250" s="1151"/>
      <c r="FP250" s="1151"/>
      <c r="FQ250" s="1151"/>
      <c r="FR250" s="1151"/>
      <c r="FS250" s="1151"/>
      <c r="FT250" s="1151"/>
      <c r="FU250" s="1151"/>
      <c r="FV250" s="1151"/>
      <c r="FW250" s="1151"/>
      <c r="FX250" s="1151"/>
    </row>
    <row r="251" spans="1:180" s="1489" customFormat="1" ht="23.25" x14ac:dyDescent="0.35">
      <c r="EX251" s="1490"/>
      <c r="EY251" s="1490"/>
      <c r="EZ251" s="1490"/>
      <c r="FA251" s="1490"/>
      <c r="FB251" s="1151"/>
      <c r="FC251" s="1151"/>
      <c r="FD251" s="1055"/>
      <c r="FE251" s="1055"/>
      <c r="FF251" s="1055"/>
      <c r="FG251" s="1151"/>
      <c r="FH251" s="1151"/>
      <c r="FI251" s="1151"/>
      <c r="FJ251" s="1151"/>
      <c r="FK251" s="1151"/>
      <c r="FL251" s="1151"/>
      <c r="FM251" s="1151"/>
      <c r="FN251" s="1151"/>
      <c r="FO251" s="1151"/>
      <c r="FP251" s="1151"/>
      <c r="FQ251" s="1151"/>
      <c r="FR251" s="1151"/>
      <c r="FS251" s="1151"/>
      <c r="FT251" s="1151"/>
      <c r="FU251" s="1151"/>
      <c r="FV251" s="1151"/>
      <c r="FW251" s="1151"/>
      <c r="FX251" s="1151"/>
    </row>
    <row r="252" spans="1:180" s="1489" customFormat="1" ht="23.25" x14ac:dyDescent="0.35">
      <c r="EX252" s="1490"/>
      <c r="EY252" s="1490"/>
      <c r="EZ252" s="1490"/>
      <c r="FA252" s="1490"/>
      <c r="FB252" s="1151"/>
      <c r="FC252" s="1151"/>
      <c r="FD252" s="1055"/>
      <c r="FE252" s="1055"/>
      <c r="FF252" s="1055"/>
      <c r="FG252" s="1151"/>
      <c r="FH252" s="1151"/>
      <c r="FI252" s="1151"/>
      <c r="FJ252" s="1151"/>
      <c r="FK252" s="1151"/>
      <c r="FL252" s="1151"/>
      <c r="FM252" s="1151"/>
      <c r="FN252" s="1151"/>
      <c r="FO252" s="1151"/>
      <c r="FP252" s="1151"/>
      <c r="FQ252" s="1151"/>
      <c r="FR252" s="1151"/>
      <c r="FS252" s="1151"/>
      <c r="FT252" s="1151"/>
      <c r="FU252" s="1151"/>
      <c r="FV252" s="1151"/>
      <c r="FW252" s="1151"/>
      <c r="FX252" s="1151"/>
    </row>
    <row r="253" spans="1:180" s="1489" customFormat="1" ht="23.25" x14ac:dyDescent="0.35">
      <c r="EX253" s="1490"/>
      <c r="EY253" s="1490"/>
      <c r="EZ253" s="1490"/>
      <c r="FA253" s="1490"/>
      <c r="FB253" s="1151"/>
      <c r="FC253" s="1151"/>
      <c r="FD253" s="1293"/>
      <c r="FE253" s="1293"/>
      <c r="FF253" s="1293"/>
      <c r="FG253" s="1151"/>
      <c r="FH253" s="1151"/>
      <c r="FI253" s="1151"/>
      <c r="FJ253" s="1151"/>
      <c r="FK253" s="1151"/>
      <c r="FL253" s="1151"/>
      <c r="FM253" s="1151"/>
      <c r="FN253" s="1151"/>
      <c r="FO253" s="1151"/>
      <c r="FP253" s="1151"/>
      <c r="FQ253" s="1151"/>
      <c r="FR253" s="1151"/>
      <c r="FS253" s="1151"/>
      <c r="FT253" s="1151"/>
      <c r="FU253" s="1151"/>
      <c r="FV253" s="1151"/>
      <c r="FW253" s="1151"/>
      <c r="FX253" s="1151"/>
    </row>
    <row r="254" spans="1:180" s="1489" customFormat="1" ht="23.25" x14ac:dyDescent="0.35">
      <c r="EX254" s="1490"/>
      <c r="EY254" s="1490"/>
      <c r="EZ254" s="1490"/>
      <c r="FA254" s="1490"/>
      <c r="FB254" s="1151"/>
      <c r="FC254" s="1151"/>
      <c r="FD254" s="1293"/>
      <c r="FE254" s="1293"/>
      <c r="FF254" s="1293"/>
      <c r="FG254" s="1151"/>
      <c r="FH254" s="1151"/>
      <c r="FI254" s="1151"/>
      <c r="FJ254" s="1151"/>
      <c r="FK254" s="1151"/>
      <c r="FL254" s="1151"/>
      <c r="FM254" s="1151"/>
      <c r="FN254" s="1151"/>
      <c r="FO254" s="1151"/>
      <c r="FP254" s="1151"/>
      <c r="FQ254" s="1151"/>
      <c r="FR254" s="1151"/>
      <c r="FS254" s="1151"/>
      <c r="FT254" s="1151"/>
      <c r="FU254" s="1151"/>
      <c r="FV254" s="1151"/>
      <c r="FW254" s="1151"/>
      <c r="FX254" s="1151"/>
    </row>
    <row r="255" spans="1:180" s="1489" customFormat="1" ht="23.25" x14ac:dyDescent="0.35">
      <c r="EX255" s="1490"/>
      <c r="EY255" s="1490"/>
      <c r="EZ255" s="1490"/>
      <c r="FA255" s="1490"/>
      <c r="FB255" s="1151"/>
      <c r="FC255" s="1151"/>
      <c r="FD255" s="1293"/>
      <c r="FE255" s="1293"/>
      <c r="FF255" s="1293"/>
      <c r="FG255" s="1151"/>
      <c r="FH255" s="1151"/>
      <c r="FI255" s="1151"/>
      <c r="FJ255" s="1151"/>
      <c r="FK255" s="1151"/>
      <c r="FL255" s="1151"/>
      <c r="FM255" s="1151"/>
      <c r="FN255" s="1151"/>
      <c r="FO255" s="1151"/>
      <c r="FP255" s="1151"/>
      <c r="FQ255" s="1151"/>
      <c r="FR255" s="1151"/>
      <c r="FS255" s="1151"/>
      <c r="FT255" s="1151"/>
      <c r="FU255" s="1151"/>
      <c r="FV255" s="1151"/>
      <c r="FW255" s="1151"/>
      <c r="FX255" s="1151"/>
    </row>
    <row r="256" spans="1:180" s="1489" customFormat="1" ht="23.25" x14ac:dyDescent="0.35">
      <c r="EX256" s="1490"/>
      <c r="EY256" s="1490"/>
      <c r="EZ256" s="1490"/>
      <c r="FA256" s="1490"/>
      <c r="FB256" s="1151"/>
      <c r="FC256" s="1151"/>
      <c r="FD256" s="1293"/>
      <c r="FE256" s="1293"/>
      <c r="FF256" s="1293"/>
      <c r="FG256" s="1151"/>
      <c r="FH256" s="1151"/>
      <c r="FI256" s="1151"/>
      <c r="FJ256" s="1151"/>
      <c r="FK256" s="1151"/>
      <c r="FL256" s="1151"/>
      <c r="FM256" s="1151"/>
      <c r="FN256" s="1151"/>
      <c r="FO256" s="1151"/>
      <c r="FP256" s="1151"/>
      <c r="FQ256" s="1151"/>
      <c r="FR256" s="1151"/>
      <c r="FS256" s="1151"/>
      <c r="FT256" s="1151"/>
      <c r="FU256" s="1151"/>
      <c r="FV256" s="1151"/>
      <c r="FW256" s="1151"/>
      <c r="FX256" s="1151"/>
    </row>
    <row r="257" spans="144:190" s="1489" customFormat="1" ht="23.25" x14ac:dyDescent="0.35">
      <c r="EX257" s="1490"/>
      <c r="EY257" s="1490"/>
      <c r="EZ257" s="1490"/>
      <c r="FA257" s="1490"/>
      <c r="FB257" s="1151"/>
      <c r="FC257" s="1151"/>
      <c r="FD257" s="1293"/>
      <c r="FE257" s="1293"/>
      <c r="FF257" s="1293"/>
      <c r="FG257" s="1151"/>
      <c r="FH257" s="1151"/>
      <c r="FI257" s="1151"/>
      <c r="FJ257" s="1151"/>
      <c r="FK257" s="1151"/>
      <c r="FL257" s="1151"/>
      <c r="FM257" s="1151"/>
      <c r="FN257" s="1151"/>
      <c r="FO257" s="1151"/>
      <c r="FP257" s="1151"/>
      <c r="FQ257" s="1151"/>
      <c r="FR257" s="1151"/>
      <c r="FS257" s="1151"/>
      <c r="FT257" s="1151"/>
      <c r="FU257" s="1151"/>
      <c r="FV257" s="1151"/>
      <c r="FW257" s="1151"/>
      <c r="FX257" s="1151"/>
    </row>
    <row r="258" spans="144:190" s="1489" customFormat="1" ht="23.25" x14ac:dyDescent="0.35">
      <c r="EX258" s="1490"/>
      <c r="EY258" s="1490"/>
      <c r="EZ258" s="1490"/>
      <c r="FA258" s="1490"/>
      <c r="FB258" s="1151"/>
      <c r="FC258" s="1151"/>
      <c r="FD258" s="1293"/>
      <c r="FE258" s="1293"/>
      <c r="FF258" s="1293"/>
      <c r="FG258" s="1151"/>
      <c r="FH258" s="1151"/>
      <c r="FI258" s="1151"/>
      <c r="FJ258" s="1151"/>
      <c r="FK258" s="1151"/>
      <c r="FL258" s="1151"/>
      <c r="FM258" s="1151"/>
      <c r="FN258" s="1151"/>
      <c r="FO258" s="1151"/>
      <c r="FP258" s="1151"/>
      <c r="FQ258" s="1151"/>
      <c r="FR258" s="1151"/>
      <c r="FS258" s="1151"/>
      <c r="FT258" s="1151"/>
      <c r="FU258" s="1151"/>
      <c r="FV258" s="1151"/>
      <c r="FW258" s="1151"/>
      <c r="FX258" s="1151"/>
    </row>
    <row r="259" spans="144:190" s="1489" customFormat="1" ht="23.25" x14ac:dyDescent="0.35">
      <c r="EX259" s="1490"/>
      <c r="EY259" s="1490"/>
      <c r="EZ259" s="1490"/>
      <c r="FA259" s="1490"/>
      <c r="FB259" s="1151"/>
      <c r="FC259" s="1151"/>
      <c r="FD259" s="1293"/>
      <c r="FE259" s="1293"/>
      <c r="FF259" s="1293"/>
      <c r="FG259" s="1151"/>
      <c r="FH259" s="1151"/>
      <c r="FI259" s="1151"/>
      <c r="FJ259" s="1151"/>
      <c r="FK259" s="1151"/>
      <c r="FL259" s="1151"/>
      <c r="FM259" s="1151"/>
      <c r="FN259" s="1151"/>
      <c r="FO259" s="1151"/>
      <c r="FP259" s="1151"/>
      <c r="FQ259" s="1151"/>
      <c r="FR259" s="1151"/>
      <c r="FS259" s="1151"/>
      <c r="FT259" s="1151"/>
      <c r="FU259" s="1151"/>
      <c r="FV259" s="1151"/>
      <c r="FW259" s="1151"/>
      <c r="FX259" s="1151"/>
    </row>
    <row r="260" spans="144:190" s="1489" customFormat="1" ht="23.25" x14ac:dyDescent="0.35">
      <c r="EX260" s="1490"/>
      <c r="EY260" s="1490"/>
      <c r="EZ260" s="1490"/>
      <c r="FA260" s="1490"/>
      <c r="FB260" s="1151"/>
      <c r="FC260" s="1151"/>
      <c r="FD260" s="1293"/>
      <c r="FE260" s="1293"/>
      <c r="FF260" s="1293"/>
      <c r="FG260" s="1151"/>
      <c r="FH260" s="1151"/>
      <c r="FI260" s="1151"/>
      <c r="FJ260" s="1151"/>
      <c r="FK260" s="1151"/>
      <c r="FL260" s="1151"/>
      <c r="FM260" s="1151"/>
      <c r="FN260" s="1151"/>
      <c r="FO260" s="1151"/>
      <c r="FP260" s="1151"/>
      <c r="FQ260" s="1151"/>
      <c r="FR260" s="1151"/>
      <c r="FS260" s="1151"/>
      <c r="FT260" s="1151"/>
      <c r="FU260" s="1151"/>
      <c r="FV260" s="1151"/>
      <c r="FW260" s="1151"/>
      <c r="FX260" s="1151"/>
    </row>
    <row r="261" spans="144:190" s="1489" customFormat="1" ht="23.25" x14ac:dyDescent="0.35">
      <c r="EX261" s="1490"/>
      <c r="EY261" s="1490"/>
      <c r="EZ261" s="1490"/>
      <c r="FA261" s="1490"/>
      <c r="FB261" s="1151"/>
      <c r="FC261" s="1151"/>
      <c r="FD261" s="1293"/>
      <c r="FE261" s="1293"/>
      <c r="FF261" s="1293"/>
      <c r="FG261" s="1151"/>
      <c r="FH261" s="1151"/>
      <c r="FI261" s="1151"/>
      <c r="FJ261" s="1151"/>
      <c r="FK261" s="1151"/>
      <c r="FL261" s="1151"/>
      <c r="FM261" s="1151"/>
      <c r="FN261" s="1151"/>
      <c r="FO261" s="1151"/>
      <c r="FP261" s="1151"/>
      <c r="FQ261" s="1151"/>
      <c r="FR261" s="1151"/>
      <c r="FS261" s="1151"/>
      <c r="FT261" s="1151"/>
      <c r="FU261" s="1151"/>
      <c r="FV261" s="1151"/>
      <c r="FW261" s="1151"/>
      <c r="FX261" s="1151"/>
    </row>
    <row r="262" spans="144:190" s="1489" customFormat="1" ht="23.25" x14ac:dyDescent="0.35">
      <c r="EX262" s="1490"/>
      <c r="EY262" s="1490"/>
      <c r="EZ262" s="1490"/>
      <c r="FA262" s="1490"/>
      <c r="FB262" s="1151"/>
      <c r="FC262" s="1151"/>
      <c r="FD262" s="1293"/>
      <c r="FE262" s="1293"/>
      <c r="FF262" s="1293"/>
      <c r="FG262" s="1151"/>
      <c r="FH262" s="1151"/>
      <c r="FI262" s="1151"/>
      <c r="FJ262" s="1151"/>
      <c r="FK262" s="1151"/>
      <c r="FL262" s="1151"/>
      <c r="FM262" s="1151"/>
      <c r="FN262" s="1151"/>
      <c r="FO262" s="1151"/>
      <c r="FP262" s="1151"/>
      <c r="FQ262" s="1151"/>
      <c r="FR262" s="1151"/>
      <c r="FS262" s="1151"/>
      <c r="FT262" s="1151"/>
      <c r="FU262" s="1151"/>
      <c r="FV262" s="1151"/>
      <c r="FW262" s="1151"/>
      <c r="FX262" s="1151"/>
    </row>
    <row r="263" spans="144:190" s="1295" customFormat="1" x14ac:dyDescent="0.25">
      <c r="EN263" s="1485"/>
      <c r="EO263" s="1485"/>
      <c r="EP263" s="1485"/>
      <c r="EQ263" s="1485"/>
      <c r="ER263" s="1485"/>
      <c r="ES263" s="1485"/>
      <c r="ET263" s="1485"/>
      <c r="EU263" s="1485"/>
      <c r="EV263" s="1485"/>
      <c r="EW263" s="1485"/>
      <c r="EX263" s="1486"/>
      <c r="EY263" s="1486"/>
      <c r="EZ263" s="1487"/>
      <c r="FA263" s="1487"/>
      <c r="FB263" s="1151"/>
      <c r="FC263" s="1151"/>
      <c r="FD263" s="1293"/>
      <c r="FE263" s="1293"/>
      <c r="FF263" s="1293"/>
      <c r="FG263" s="1151"/>
      <c r="FH263" s="1151"/>
      <c r="FI263" s="1151"/>
      <c r="FJ263" s="1151"/>
      <c r="FK263" s="1151"/>
      <c r="FL263" s="1151"/>
      <c r="FM263" s="1151"/>
      <c r="FN263" s="1151"/>
      <c r="FO263" s="1151"/>
      <c r="FP263" s="1151"/>
      <c r="FQ263" s="1151"/>
      <c r="FR263" s="1151"/>
      <c r="FS263" s="1151"/>
      <c r="FT263" s="1151"/>
      <c r="FU263" s="1151"/>
      <c r="FV263" s="1151"/>
      <c r="FW263" s="1151"/>
      <c r="FX263" s="1151"/>
      <c r="FY263" s="1488"/>
      <c r="FZ263" s="1488"/>
      <c r="GA263" s="1488"/>
      <c r="GB263" s="1485"/>
      <c r="GC263" s="1485"/>
      <c r="GD263" s="1485"/>
      <c r="GE263" s="1485"/>
      <c r="GF263" s="1485"/>
      <c r="GG263" s="1485"/>
      <c r="GH263" s="1485"/>
    </row>
    <row r="264" spans="144:190" s="1295" customFormat="1" x14ac:dyDescent="0.25">
      <c r="EN264" s="1485"/>
      <c r="EO264" s="1485"/>
      <c r="EP264" s="1485"/>
      <c r="EQ264" s="1485"/>
      <c r="ER264" s="1485"/>
      <c r="ES264" s="1485"/>
      <c r="ET264" s="1485"/>
      <c r="EU264" s="1485"/>
      <c r="EV264" s="1485"/>
      <c r="EW264" s="1485"/>
      <c r="EX264" s="1486"/>
      <c r="EY264" s="1486"/>
      <c r="EZ264" s="1487"/>
      <c r="FA264" s="1487"/>
      <c r="FB264" s="1151"/>
      <c r="FC264" s="1151"/>
      <c r="FD264" s="1293"/>
      <c r="FE264" s="1293"/>
      <c r="FF264" s="1293"/>
      <c r="FG264" s="1151"/>
      <c r="FH264" s="1151"/>
      <c r="FI264" s="1151"/>
      <c r="FJ264" s="1151"/>
      <c r="FK264" s="1151"/>
      <c r="FL264" s="1151"/>
      <c r="FM264" s="1151"/>
      <c r="FN264" s="1151"/>
      <c r="FO264" s="1151"/>
      <c r="FP264" s="1151"/>
      <c r="FQ264" s="1151"/>
      <c r="FR264" s="1151"/>
      <c r="FS264" s="1151"/>
      <c r="FT264" s="1151"/>
      <c r="FU264" s="1151"/>
      <c r="FV264" s="1151"/>
      <c r="FW264" s="1151"/>
      <c r="FX264" s="1151"/>
      <c r="FY264" s="1488"/>
      <c r="FZ264" s="1488"/>
      <c r="GA264" s="1488"/>
      <c r="GB264" s="1485"/>
      <c r="GC264" s="1485"/>
      <c r="GD264" s="1485"/>
      <c r="GE264" s="1485"/>
      <c r="GF264" s="1485"/>
      <c r="GG264" s="1485"/>
      <c r="GH264" s="1485"/>
    </row>
    <row r="265" spans="144:190" s="1295" customFormat="1" x14ac:dyDescent="0.25">
      <c r="EN265" s="1485"/>
      <c r="EO265" s="1485"/>
      <c r="EP265" s="1485"/>
      <c r="EQ265" s="1485"/>
      <c r="ER265" s="1485"/>
      <c r="ES265" s="1485"/>
      <c r="ET265" s="1485"/>
      <c r="EU265" s="1485"/>
      <c r="EV265" s="1485"/>
      <c r="EW265" s="1485"/>
      <c r="EX265" s="1486"/>
      <c r="EY265" s="1486"/>
      <c r="EZ265" s="1487"/>
      <c r="FA265" s="1487"/>
      <c r="FB265" s="1151"/>
      <c r="FC265" s="1151"/>
      <c r="FD265" s="1293"/>
      <c r="FE265" s="1293"/>
      <c r="FF265" s="1293"/>
      <c r="FG265" s="1151"/>
      <c r="FH265" s="1151"/>
      <c r="FI265" s="1151"/>
      <c r="FJ265" s="1151"/>
      <c r="FK265" s="1151"/>
      <c r="FL265" s="1151"/>
      <c r="FM265" s="1151"/>
      <c r="FN265" s="1151"/>
      <c r="FO265" s="1151"/>
      <c r="FP265" s="1151"/>
      <c r="FQ265" s="1151"/>
      <c r="FR265" s="1151"/>
      <c r="FS265" s="1151"/>
      <c r="FT265" s="1151"/>
      <c r="FU265" s="1151"/>
      <c r="FV265" s="1151"/>
      <c r="FW265" s="1151"/>
      <c r="FX265" s="1151"/>
      <c r="FY265" s="1488"/>
      <c r="FZ265" s="1488"/>
      <c r="GA265" s="1488"/>
      <c r="GB265" s="1485"/>
      <c r="GC265" s="1485"/>
      <c r="GD265" s="1485"/>
      <c r="GE265" s="1485"/>
      <c r="GF265" s="1485"/>
      <c r="GG265" s="1485"/>
      <c r="GH265" s="1485"/>
    </row>
    <row r="266" spans="144:190" s="1295" customFormat="1" x14ac:dyDescent="0.25">
      <c r="EN266" s="1485"/>
      <c r="EO266" s="1485"/>
      <c r="EP266" s="1485"/>
      <c r="EQ266" s="1485"/>
      <c r="ER266" s="1485"/>
      <c r="ES266" s="1485"/>
      <c r="ET266" s="1485"/>
      <c r="EU266" s="1485"/>
      <c r="EV266" s="1485"/>
      <c r="EW266" s="1485"/>
      <c r="EX266" s="1486"/>
      <c r="EY266" s="1486"/>
      <c r="EZ266" s="1487"/>
      <c r="FA266" s="1487"/>
      <c r="FB266" s="1151"/>
      <c r="FC266" s="1151"/>
      <c r="FD266" s="1293"/>
      <c r="FE266" s="1293"/>
      <c r="FF266" s="1293"/>
      <c r="FG266" s="1151"/>
      <c r="FH266" s="1151"/>
      <c r="FI266" s="1151"/>
      <c r="FJ266" s="1151"/>
      <c r="FK266" s="1151"/>
      <c r="FL266" s="1151"/>
      <c r="FM266" s="1151"/>
      <c r="FN266" s="1151"/>
      <c r="FO266" s="1151"/>
      <c r="FP266" s="1151"/>
      <c r="FQ266" s="1151"/>
      <c r="FR266" s="1151"/>
      <c r="FS266" s="1151"/>
      <c r="FT266" s="1151"/>
      <c r="FU266" s="1151"/>
      <c r="FV266" s="1151"/>
      <c r="FW266" s="1151"/>
      <c r="FX266" s="1151"/>
      <c r="FY266" s="1488"/>
      <c r="FZ266" s="1488"/>
      <c r="GA266" s="1488"/>
      <c r="GB266" s="1485"/>
      <c r="GC266" s="1485"/>
      <c r="GD266" s="1485"/>
      <c r="GE266" s="1485"/>
      <c r="GF266" s="1485"/>
      <c r="GG266" s="1485"/>
      <c r="GH266" s="1485"/>
    </row>
    <row r="267" spans="144:190" s="1295" customFormat="1" x14ac:dyDescent="0.25">
      <c r="EN267" s="1485"/>
      <c r="EO267" s="1485"/>
      <c r="EP267" s="1485"/>
      <c r="EQ267" s="1485"/>
      <c r="ER267" s="1485"/>
      <c r="ES267" s="1485"/>
      <c r="ET267" s="1485"/>
      <c r="EU267" s="1485"/>
      <c r="EV267" s="1485"/>
      <c r="EW267" s="1485"/>
      <c r="EX267" s="1486"/>
      <c r="EY267" s="1486"/>
      <c r="EZ267" s="1487"/>
      <c r="FA267" s="1487"/>
      <c r="FB267" s="1151"/>
      <c r="FC267" s="1151"/>
      <c r="FD267" s="1293"/>
      <c r="FE267" s="1293"/>
      <c r="FF267" s="1293"/>
      <c r="FG267" s="1151"/>
      <c r="FH267" s="1151"/>
      <c r="FI267" s="1151"/>
      <c r="FJ267" s="1151"/>
      <c r="FK267" s="1151"/>
      <c r="FL267" s="1151"/>
      <c r="FM267" s="1151"/>
      <c r="FN267" s="1151"/>
      <c r="FO267" s="1151"/>
      <c r="FP267" s="1151"/>
      <c r="FQ267" s="1151"/>
      <c r="FR267" s="1151"/>
      <c r="FS267" s="1151"/>
      <c r="FT267" s="1151"/>
      <c r="FU267" s="1151"/>
      <c r="FV267" s="1151"/>
      <c r="FW267" s="1151"/>
      <c r="FX267" s="1151"/>
      <c r="FY267" s="1488"/>
      <c r="FZ267" s="1488"/>
      <c r="GA267" s="1488"/>
      <c r="GB267" s="1485"/>
      <c r="GC267" s="1485"/>
      <c r="GD267" s="1485"/>
      <c r="GE267" s="1485"/>
      <c r="GF267" s="1485"/>
      <c r="GG267" s="1485"/>
      <c r="GH267" s="1485"/>
    </row>
    <row r="268" spans="144:190" s="1295" customFormat="1" x14ac:dyDescent="0.25">
      <c r="EN268" s="1485"/>
      <c r="EO268" s="1485"/>
      <c r="EP268" s="1485"/>
      <c r="EQ268" s="1485"/>
      <c r="ER268" s="1485"/>
      <c r="ES268" s="1485"/>
      <c r="ET268" s="1485"/>
      <c r="EU268" s="1485"/>
      <c r="EV268" s="1485"/>
      <c r="EW268" s="1485"/>
      <c r="EX268" s="1486"/>
      <c r="EY268" s="1486"/>
      <c r="EZ268" s="1487"/>
      <c r="FA268" s="1487"/>
      <c r="FB268" s="1151"/>
      <c r="FC268" s="1151"/>
      <c r="FD268" s="1293"/>
      <c r="FE268" s="1293"/>
      <c r="FF268" s="1293"/>
      <c r="FG268" s="1151"/>
      <c r="FH268" s="1151"/>
      <c r="FI268" s="1151"/>
      <c r="FJ268" s="1151"/>
      <c r="FK268" s="1151"/>
      <c r="FL268" s="1151"/>
      <c r="FM268" s="1151"/>
      <c r="FN268" s="1151"/>
      <c r="FO268" s="1151"/>
      <c r="FP268" s="1151"/>
      <c r="FQ268" s="1151"/>
      <c r="FR268" s="1151"/>
      <c r="FS268" s="1151"/>
      <c r="FT268" s="1151"/>
      <c r="FU268" s="1151"/>
      <c r="FV268" s="1151"/>
      <c r="FW268" s="1151"/>
      <c r="FX268" s="1151"/>
      <c r="FY268" s="1488"/>
      <c r="FZ268" s="1488"/>
      <c r="GA268" s="1488"/>
      <c r="GB268" s="1485"/>
      <c r="GC268" s="1485"/>
      <c r="GD268" s="1485"/>
      <c r="GE268" s="1485"/>
      <c r="GF268" s="1485"/>
      <c r="GG268" s="1485"/>
      <c r="GH268" s="1485"/>
    </row>
    <row r="269" spans="144:190" s="1295" customFormat="1" x14ac:dyDescent="0.25">
      <c r="EN269" s="1485"/>
      <c r="EO269" s="1485"/>
      <c r="EP269" s="1485"/>
      <c r="EQ269" s="1485"/>
      <c r="ER269" s="1485"/>
      <c r="ES269" s="1485"/>
      <c r="ET269" s="1485"/>
      <c r="EU269" s="1485"/>
      <c r="EV269" s="1485"/>
      <c r="EW269" s="1485"/>
      <c r="EX269" s="1486"/>
      <c r="EY269" s="1486"/>
      <c r="EZ269" s="1487"/>
      <c r="FA269" s="1487"/>
      <c r="FB269" s="1151"/>
      <c r="FC269" s="1151"/>
      <c r="FD269" s="1293"/>
      <c r="FE269" s="1293"/>
      <c r="FF269" s="1293"/>
      <c r="FG269" s="1151"/>
      <c r="FH269" s="1151"/>
      <c r="FI269" s="1151"/>
      <c r="FJ269" s="1151"/>
      <c r="FK269" s="1151"/>
      <c r="FL269" s="1151"/>
      <c r="FM269" s="1151"/>
      <c r="FN269" s="1151"/>
      <c r="FO269" s="1151"/>
      <c r="FP269" s="1151"/>
      <c r="FQ269" s="1151"/>
      <c r="FR269" s="1151"/>
      <c r="FS269" s="1151"/>
      <c r="FT269" s="1151"/>
      <c r="FU269" s="1151"/>
      <c r="FV269" s="1151"/>
      <c r="FW269" s="1151"/>
      <c r="FX269" s="1151"/>
      <c r="FY269" s="1488"/>
      <c r="FZ269" s="1488"/>
      <c r="GA269" s="1488"/>
      <c r="GB269" s="1485"/>
      <c r="GC269" s="1485"/>
      <c r="GD269" s="1485"/>
      <c r="GE269" s="1485"/>
      <c r="GF269" s="1485"/>
      <c r="GG269" s="1485"/>
      <c r="GH269" s="1485"/>
    </row>
    <row r="270" spans="144:190" s="1295" customFormat="1" x14ac:dyDescent="0.25">
      <c r="EN270" s="1485"/>
      <c r="EO270" s="1485"/>
      <c r="EP270" s="1485"/>
      <c r="EQ270" s="1485"/>
      <c r="ER270" s="1485"/>
      <c r="ES270" s="1485"/>
      <c r="ET270" s="1485"/>
      <c r="EU270" s="1485"/>
      <c r="EV270" s="1485"/>
      <c r="EW270" s="1485"/>
      <c r="EX270" s="1486"/>
      <c r="EY270" s="1486"/>
      <c r="EZ270" s="1487"/>
      <c r="FA270" s="1487"/>
      <c r="FB270" s="1151"/>
      <c r="FC270" s="1151"/>
      <c r="FD270" s="1293"/>
      <c r="FE270" s="1293"/>
      <c r="FF270" s="1293"/>
      <c r="FG270" s="1151"/>
      <c r="FH270" s="1151"/>
      <c r="FI270" s="1151"/>
      <c r="FJ270" s="1151"/>
      <c r="FK270" s="1151"/>
      <c r="FL270" s="1151"/>
      <c r="FM270" s="1151"/>
      <c r="FN270" s="1151"/>
      <c r="FO270" s="1151"/>
      <c r="FP270" s="1151"/>
      <c r="FQ270" s="1151"/>
      <c r="FR270" s="1151"/>
      <c r="FS270" s="1151"/>
      <c r="FT270" s="1151"/>
      <c r="FU270" s="1151"/>
      <c r="FV270" s="1151"/>
      <c r="FW270" s="1151"/>
      <c r="FX270" s="1151"/>
      <c r="FY270" s="1488"/>
      <c r="FZ270" s="1488"/>
      <c r="GA270" s="1488"/>
      <c r="GB270" s="1485"/>
      <c r="GC270" s="1485"/>
      <c r="GD270" s="1485"/>
      <c r="GE270" s="1485"/>
      <c r="GF270" s="1485"/>
      <c r="GG270" s="1485"/>
      <c r="GH270" s="1485"/>
    </row>
    <row r="271" spans="144:190" s="1295" customFormat="1" x14ac:dyDescent="0.25">
      <c r="EN271" s="1485"/>
      <c r="EO271" s="1485"/>
      <c r="EP271" s="1485"/>
      <c r="EQ271" s="1485"/>
      <c r="ER271" s="1485"/>
      <c r="ES271" s="1485"/>
      <c r="ET271" s="1485"/>
      <c r="EU271" s="1485"/>
      <c r="EV271" s="1485"/>
      <c r="EW271" s="1485"/>
      <c r="EX271" s="1486"/>
      <c r="EY271" s="1486"/>
      <c r="EZ271" s="1487"/>
      <c r="FA271" s="1487"/>
      <c r="FB271" s="1151"/>
      <c r="FC271" s="1151"/>
      <c r="FD271" s="1293"/>
      <c r="FE271" s="1293"/>
      <c r="FF271" s="1293"/>
      <c r="FG271" s="1151"/>
      <c r="FH271" s="1151"/>
      <c r="FI271" s="1151"/>
      <c r="FJ271" s="1151"/>
      <c r="FK271" s="1151"/>
      <c r="FL271" s="1151"/>
      <c r="FM271" s="1151"/>
      <c r="FN271" s="1151"/>
      <c r="FO271" s="1151"/>
      <c r="FP271" s="1151"/>
      <c r="FQ271" s="1151"/>
      <c r="FR271" s="1151"/>
      <c r="FS271" s="1151"/>
      <c r="FT271" s="1151"/>
      <c r="FU271" s="1151"/>
      <c r="FV271" s="1151"/>
      <c r="FW271" s="1151"/>
      <c r="FX271" s="1151"/>
      <c r="FY271" s="1488"/>
      <c r="FZ271" s="1488"/>
      <c r="GA271" s="1488"/>
      <c r="GB271" s="1485"/>
      <c r="GC271" s="1485"/>
      <c r="GD271" s="1485"/>
      <c r="GE271" s="1485"/>
      <c r="GF271" s="1485"/>
      <c r="GG271" s="1485"/>
      <c r="GH271" s="1485"/>
    </row>
    <row r="272" spans="144:190" s="1295" customFormat="1" x14ac:dyDescent="0.25">
      <c r="EN272" s="1485"/>
      <c r="EO272" s="1485"/>
      <c r="EP272" s="1485"/>
      <c r="EQ272" s="1485"/>
      <c r="ER272" s="1485"/>
      <c r="ES272" s="1485"/>
      <c r="ET272" s="1485"/>
      <c r="EU272" s="1485"/>
      <c r="EV272" s="1485"/>
      <c r="EW272" s="1485"/>
      <c r="EX272" s="1486"/>
      <c r="EY272" s="1486"/>
      <c r="EZ272" s="1487"/>
      <c r="FA272" s="1487"/>
      <c r="FB272" s="1151"/>
      <c r="FC272" s="1151"/>
      <c r="FD272" s="1293"/>
      <c r="FE272" s="1293"/>
      <c r="FF272" s="1293"/>
      <c r="FG272" s="1151"/>
      <c r="FH272" s="1151"/>
      <c r="FI272" s="1151"/>
      <c r="FJ272" s="1151"/>
      <c r="FK272" s="1151"/>
      <c r="FL272" s="1151"/>
      <c r="FM272" s="1151"/>
      <c r="FN272" s="1151"/>
      <c r="FO272" s="1151"/>
      <c r="FP272" s="1151"/>
      <c r="FQ272" s="1151"/>
      <c r="FR272" s="1151"/>
      <c r="FS272" s="1151"/>
      <c r="FT272" s="1151"/>
      <c r="FU272" s="1151"/>
      <c r="FV272" s="1151"/>
      <c r="FW272" s="1151"/>
      <c r="FX272" s="1151"/>
      <c r="FY272" s="1488"/>
      <c r="FZ272" s="1488"/>
      <c r="GA272" s="1488"/>
      <c r="GB272" s="1485"/>
      <c r="GC272" s="1485"/>
      <c r="GD272" s="1485"/>
      <c r="GE272" s="1485"/>
      <c r="GF272" s="1485"/>
      <c r="GG272" s="1485"/>
      <c r="GH272" s="1485"/>
    </row>
    <row r="273" spans="144:190" s="1295" customFormat="1" x14ac:dyDescent="0.25">
      <c r="EN273" s="1485"/>
      <c r="EO273" s="1485"/>
      <c r="EP273" s="1485"/>
      <c r="EQ273" s="1485"/>
      <c r="ER273" s="1485"/>
      <c r="ES273" s="1485"/>
      <c r="ET273" s="1485"/>
      <c r="EU273" s="1485"/>
      <c r="EV273" s="1485"/>
      <c r="EW273" s="1485"/>
      <c r="EX273" s="1486"/>
      <c r="EY273" s="1486"/>
      <c r="EZ273" s="1487"/>
      <c r="FA273" s="1487"/>
      <c r="FB273" s="1151"/>
      <c r="FC273" s="1151"/>
      <c r="FD273" s="1293"/>
      <c r="FE273" s="1293"/>
      <c r="FF273" s="1293"/>
      <c r="FG273" s="1151"/>
      <c r="FH273" s="1151"/>
      <c r="FI273" s="1151"/>
      <c r="FJ273" s="1151"/>
      <c r="FK273" s="1151"/>
      <c r="FL273" s="1151"/>
      <c r="FM273" s="1151"/>
      <c r="FN273" s="1151"/>
      <c r="FO273" s="1151"/>
      <c r="FP273" s="1151"/>
      <c r="FQ273" s="1151"/>
      <c r="FR273" s="1151"/>
      <c r="FS273" s="1151"/>
      <c r="FT273" s="1151"/>
      <c r="FU273" s="1151"/>
      <c r="FV273" s="1151"/>
      <c r="FW273" s="1151"/>
      <c r="FX273" s="1151"/>
      <c r="FY273" s="1488"/>
      <c r="FZ273" s="1488"/>
      <c r="GA273" s="1488"/>
      <c r="GB273" s="1485"/>
      <c r="GC273" s="1485"/>
      <c r="GD273" s="1485"/>
      <c r="GE273" s="1485"/>
      <c r="GF273" s="1485"/>
      <c r="GG273" s="1485"/>
      <c r="GH273" s="1485"/>
    </row>
    <row r="274" spans="144:190" s="1295" customFormat="1" x14ac:dyDescent="0.25">
      <c r="EN274" s="1485"/>
      <c r="EO274" s="1485"/>
      <c r="EP274" s="1485"/>
      <c r="EQ274" s="1485"/>
      <c r="ER274" s="1485"/>
      <c r="ES274" s="1485"/>
      <c r="ET274" s="1485"/>
      <c r="EU274" s="1485"/>
      <c r="EV274" s="1485"/>
      <c r="EW274" s="1485"/>
      <c r="EX274" s="1486"/>
      <c r="EY274" s="1486"/>
      <c r="EZ274" s="1487"/>
      <c r="FA274" s="1487"/>
      <c r="FB274" s="1151"/>
      <c r="FC274" s="1151"/>
      <c r="FD274" s="1293"/>
      <c r="FE274" s="1293"/>
      <c r="FF274" s="1293"/>
      <c r="FG274" s="1151"/>
      <c r="FH274" s="1151"/>
      <c r="FI274" s="1151"/>
      <c r="FJ274" s="1151"/>
      <c r="FK274" s="1151"/>
      <c r="FL274" s="1151"/>
      <c r="FM274" s="1151"/>
      <c r="FN274" s="1151"/>
      <c r="FO274" s="1151"/>
      <c r="FP274" s="1151"/>
      <c r="FQ274" s="1151"/>
      <c r="FR274" s="1151"/>
      <c r="FS274" s="1151"/>
      <c r="FT274" s="1151"/>
      <c r="FU274" s="1151"/>
      <c r="FV274" s="1151"/>
      <c r="FW274" s="1151"/>
      <c r="FX274" s="1151"/>
      <c r="FY274" s="1488"/>
      <c r="FZ274" s="1488"/>
      <c r="GA274" s="1488"/>
      <c r="GB274" s="1485"/>
      <c r="GC274" s="1485"/>
      <c r="GD274" s="1485"/>
      <c r="GE274" s="1485"/>
      <c r="GF274" s="1485"/>
      <c r="GG274" s="1485"/>
      <c r="GH274" s="1485"/>
    </row>
    <row r="275" spans="144:190" s="1295" customFormat="1" x14ac:dyDescent="0.25">
      <c r="EN275" s="1485"/>
      <c r="EO275" s="1485"/>
      <c r="EP275" s="1485"/>
      <c r="EQ275" s="1485"/>
      <c r="ER275" s="1485"/>
      <c r="ES275" s="1485"/>
      <c r="ET275" s="1485"/>
      <c r="EU275" s="1485"/>
      <c r="EV275" s="1485"/>
      <c r="EW275" s="1485"/>
      <c r="EX275" s="1486"/>
      <c r="EY275" s="1486"/>
      <c r="EZ275" s="1487"/>
      <c r="FA275" s="1487"/>
      <c r="FB275" s="1151"/>
      <c r="FC275" s="1151"/>
      <c r="FD275" s="1293"/>
      <c r="FE275" s="1293"/>
      <c r="FF275" s="1293"/>
      <c r="FG275" s="1151"/>
      <c r="FH275" s="1151"/>
      <c r="FI275" s="1151"/>
      <c r="FJ275" s="1151"/>
      <c r="FK275" s="1151"/>
      <c r="FL275" s="1151"/>
      <c r="FM275" s="1151"/>
      <c r="FN275" s="1151"/>
      <c r="FO275" s="1151"/>
      <c r="FP275" s="1151"/>
      <c r="FQ275" s="1151"/>
      <c r="FR275" s="1151"/>
      <c r="FS275" s="1151"/>
      <c r="FT275" s="1151"/>
      <c r="FU275" s="1151"/>
      <c r="FV275" s="1151"/>
      <c r="FW275" s="1151"/>
      <c r="FX275" s="1151"/>
      <c r="FY275" s="1488"/>
      <c r="FZ275" s="1488"/>
      <c r="GA275" s="1488"/>
      <c r="GB275" s="1485"/>
      <c r="GC275" s="1485"/>
      <c r="GD275" s="1485"/>
      <c r="GE275" s="1485"/>
      <c r="GF275" s="1485"/>
      <c r="GG275" s="1485"/>
      <c r="GH275" s="1485"/>
    </row>
    <row r="276" spans="144:190" s="1295" customFormat="1" x14ac:dyDescent="0.25">
      <c r="EN276" s="1485"/>
      <c r="EO276" s="1485"/>
      <c r="EP276" s="1485"/>
      <c r="EQ276" s="1485"/>
      <c r="ER276" s="1485"/>
      <c r="ES276" s="1485"/>
      <c r="ET276" s="1485"/>
      <c r="EU276" s="1485"/>
      <c r="EV276" s="1485"/>
      <c r="EW276" s="1485"/>
      <c r="EX276" s="1486"/>
      <c r="EY276" s="1486"/>
      <c r="EZ276" s="1487"/>
      <c r="FA276" s="1487"/>
      <c r="FB276" s="1151"/>
      <c r="FC276" s="1151"/>
      <c r="FD276" s="1293"/>
      <c r="FE276" s="1293"/>
      <c r="FF276" s="1293"/>
      <c r="FG276" s="1151"/>
      <c r="FH276" s="1151"/>
      <c r="FI276" s="1151"/>
      <c r="FJ276" s="1151"/>
      <c r="FK276" s="1151"/>
      <c r="FL276" s="1151"/>
      <c r="FM276" s="1151"/>
      <c r="FN276" s="1151"/>
      <c r="FO276" s="1151"/>
      <c r="FP276" s="1151"/>
      <c r="FQ276" s="1151"/>
      <c r="FR276" s="1151"/>
      <c r="FS276" s="1151"/>
      <c r="FT276" s="1151"/>
      <c r="FU276" s="1151"/>
      <c r="FV276" s="1151"/>
      <c r="FW276" s="1151"/>
      <c r="FX276" s="1151"/>
      <c r="FY276" s="1488"/>
      <c r="FZ276" s="1488"/>
      <c r="GA276" s="1488"/>
      <c r="GB276" s="1485"/>
      <c r="GC276" s="1485"/>
      <c r="GD276" s="1485"/>
      <c r="GE276" s="1485"/>
      <c r="GF276" s="1485"/>
      <c r="GG276" s="1485"/>
      <c r="GH276" s="1485"/>
    </row>
    <row r="277" spans="144:190" s="1295" customFormat="1" x14ac:dyDescent="0.25">
      <c r="EN277" s="1485"/>
      <c r="EO277" s="1485"/>
      <c r="EP277" s="1485"/>
      <c r="EQ277" s="1485"/>
      <c r="ER277" s="1485"/>
      <c r="ES277" s="1485"/>
      <c r="ET277" s="1485"/>
      <c r="EU277" s="1485"/>
      <c r="EV277" s="1485"/>
      <c r="EW277" s="1485"/>
      <c r="EX277" s="1486"/>
      <c r="EY277" s="1486"/>
      <c r="EZ277" s="1487"/>
      <c r="FA277" s="1487"/>
      <c r="FB277" s="1151"/>
      <c r="FC277" s="1151"/>
      <c r="FD277" s="1293"/>
      <c r="FE277" s="1293"/>
      <c r="FF277" s="1293"/>
      <c r="FG277" s="1151"/>
      <c r="FH277" s="1151"/>
      <c r="FI277" s="1151"/>
      <c r="FJ277" s="1151"/>
      <c r="FK277" s="1151"/>
      <c r="FL277" s="1151"/>
      <c r="FM277" s="1151"/>
      <c r="FN277" s="1151"/>
      <c r="FO277" s="1151"/>
      <c r="FP277" s="1151"/>
      <c r="FQ277" s="1151"/>
      <c r="FR277" s="1151"/>
      <c r="FS277" s="1151"/>
      <c r="FT277" s="1151"/>
      <c r="FU277" s="1151"/>
      <c r="FV277" s="1151"/>
      <c r="FW277" s="1151"/>
      <c r="FX277" s="1151"/>
      <c r="FY277" s="1488"/>
      <c r="FZ277" s="1488"/>
      <c r="GA277" s="1488"/>
      <c r="GB277" s="1485"/>
      <c r="GC277" s="1485"/>
      <c r="GD277" s="1485"/>
      <c r="GE277" s="1485"/>
      <c r="GF277" s="1485"/>
      <c r="GG277" s="1485"/>
      <c r="GH277" s="1485"/>
    </row>
    <row r="278" spans="144:190" s="1295" customFormat="1" x14ac:dyDescent="0.25">
      <c r="EN278" s="1485"/>
      <c r="EO278" s="1485"/>
      <c r="EP278" s="1485"/>
      <c r="EQ278" s="1485"/>
      <c r="ER278" s="1485"/>
      <c r="ES278" s="1485"/>
      <c r="ET278" s="1485"/>
      <c r="EU278" s="1485"/>
      <c r="EV278" s="1485"/>
      <c r="EW278" s="1485"/>
      <c r="EX278" s="1486"/>
      <c r="EY278" s="1486"/>
      <c r="EZ278" s="1487"/>
      <c r="FA278" s="1487"/>
      <c r="FB278" s="1151"/>
      <c r="FC278" s="1151"/>
      <c r="FD278" s="1293"/>
      <c r="FE278" s="1293"/>
      <c r="FF278" s="1293"/>
      <c r="FG278" s="1151"/>
      <c r="FH278" s="1151"/>
      <c r="FI278" s="1151"/>
      <c r="FJ278" s="1151"/>
      <c r="FK278" s="1151"/>
      <c r="FL278" s="1151"/>
      <c r="FM278" s="1151"/>
      <c r="FN278" s="1151"/>
      <c r="FO278" s="1151"/>
      <c r="FP278" s="1151"/>
      <c r="FQ278" s="1151"/>
      <c r="FR278" s="1151"/>
      <c r="FS278" s="1151"/>
      <c r="FT278" s="1151"/>
      <c r="FU278" s="1151"/>
      <c r="FV278" s="1151"/>
      <c r="FW278" s="1151"/>
      <c r="FX278" s="1151"/>
      <c r="FY278" s="1488"/>
      <c r="FZ278" s="1488"/>
      <c r="GA278" s="1488"/>
      <c r="GB278" s="1485"/>
      <c r="GC278" s="1485"/>
      <c r="GD278" s="1485"/>
      <c r="GE278" s="1485"/>
      <c r="GF278" s="1485"/>
      <c r="GG278" s="1485"/>
      <c r="GH278" s="1485"/>
    </row>
    <row r="279" spans="144:190" s="1295" customFormat="1" x14ac:dyDescent="0.25">
      <c r="EN279" s="1485"/>
      <c r="EO279" s="1485"/>
      <c r="EP279" s="1485"/>
      <c r="EQ279" s="1485"/>
      <c r="ER279" s="1485"/>
      <c r="ES279" s="1485"/>
      <c r="ET279" s="1485"/>
      <c r="EU279" s="1485"/>
      <c r="EV279" s="1485"/>
      <c r="EW279" s="1485"/>
      <c r="EX279" s="1486"/>
      <c r="EY279" s="1486"/>
      <c r="EZ279" s="1487"/>
      <c r="FA279" s="1487"/>
      <c r="FB279" s="1151"/>
      <c r="FC279" s="1151"/>
      <c r="FD279" s="1293"/>
      <c r="FE279" s="1293"/>
      <c r="FF279" s="1293"/>
      <c r="FG279" s="1151"/>
      <c r="FH279" s="1151"/>
      <c r="FI279" s="1151"/>
      <c r="FJ279" s="1151"/>
      <c r="FK279" s="1151"/>
      <c r="FL279" s="1151"/>
      <c r="FM279" s="1151"/>
      <c r="FN279" s="1151"/>
      <c r="FO279" s="1151"/>
      <c r="FP279" s="1151"/>
      <c r="FQ279" s="1151"/>
      <c r="FR279" s="1151"/>
      <c r="FS279" s="1151"/>
      <c r="FT279" s="1151"/>
      <c r="FU279" s="1151"/>
      <c r="FV279" s="1151"/>
      <c r="FW279" s="1151"/>
      <c r="FX279" s="1151"/>
      <c r="FY279" s="1488"/>
      <c r="FZ279" s="1488"/>
      <c r="GA279" s="1488"/>
      <c r="GB279" s="1485"/>
      <c r="GC279" s="1485"/>
      <c r="GD279" s="1485"/>
      <c r="GE279" s="1485"/>
      <c r="GF279" s="1485"/>
      <c r="GG279" s="1485"/>
      <c r="GH279" s="1485"/>
    </row>
    <row r="280" spans="144:190" s="1295" customFormat="1" x14ac:dyDescent="0.25">
      <c r="EN280" s="1485"/>
      <c r="EO280" s="1485"/>
      <c r="EP280" s="1485"/>
      <c r="EQ280" s="1485"/>
      <c r="ER280" s="1485"/>
      <c r="ES280" s="1485"/>
      <c r="ET280" s="1485"/>
      <c r="EU280" s="1485"/>
      <c r="EV280" s="1485"/>
      <c r="EW280" s="1485"/>
      <c r="EX280" s="1486"/>
      <c r="EY280" s="1486"/>
      <c r="EZ280" s="1487"/>
      <c r="FA280" s="1487"/>
      <c r="FB280" s="1151"/>
      <c r="FC280" s="1151"/>
      <c r="FD280" s="1293"/>
      <c r="FE280" s="1293"/>
      <c r="FF280" s="1293"/>
      <c r="FG280" s="1151"/>
      <c r="FH280" s="1151"/>
      <c r="FI280" s="1151"/>
      <c r="FJ280" s="1151"/>
      <c r="FK280" s="1151"/>
      <c r="FL280" s="1151"/>
      <c r="FM280" s="1151"/>
      <c r="FN280" s="1151"/>
      <c r="FO280" s="1151"/>
      <c r="FP280" s="1151"/>
      <c r="FQ280" s="1151"/>
      <c r="FR280" s="1151"/>
      <c r="FS280" s="1151"/>
      <c r="FT280" s="1151"/>
      <c r="FU280" s="1151"/>
      <c r="FV280" s="1151"/>
      <c r="FW280" s="1151"/>
      <c r="FX280" s="1151"/>
      <c r="FY280" s="1488"/>
      <c r="FZ280" s="1488"/>
      <c r="GA280" s="1488"/>
      <c r="GB280" s="1485"/>
      <c r="GC280" s="1485"/>
      <c r="GD280" s="1485"/>
      <c r="GE280" s="1485"/>
      <c r="GF280" s="1485"/>
      <c r="GG280" s="1485"/>
      <c r="GH280" s="1485"/>
    </row>
    <row r="281" spans="144:190" s="1295" customFormat="1" x14ac:dyDescent="0.25">
      <c r="EN281" s="1485"/>
      <c r="EO281" s="1485"/>
      <c r="EP281" s="1485"/>
      <c r="EQ281" s="1485"/>
      <c r="ER281" s="1485"/>
      <c r="ES281" s="1485"/>
      <c r="ET281" s="1485"/>
      <c r="EU281" s="1485"/>
      <c r="EV281" s="1485"/>
      <c r="EW281" s="1485"/>
      <c r="EX281" s="1486"/>
      <c r="EY281" s="1486"/>
      <c r="EZ281" s="1487"/>
      <c r="FA281" s="1487"/>
      <c r="FB281" s="1151"/>
      <c r="FC281" s="1151"/>
      <c r="FD281" s="1293"/>
      <c r="FE281" s="1293"/>
      <c r="FF281" s="1293"/>
      <c r="FG281" s="1151"/>
      <c r="FH281" s="1151"/>
      <c r="FI281" s="1151"/>
      <c r="FJ281" s="1151"/>
      <c r="FK281" s="1151"/>
      <c r="FL281" s="1151"/>
      <c r="FM281" s="1151"/>
      <c r="FN281" s="1151"/>
      <c r="FO281" s="1151"/>
      <c r="FP281" s="1151"/>
      <c r="FQ281" s="1151"/>
      <c r="FR281" s="1151"/>
      <c r="FS281" s="1151"/>
      <c r="FT281" s="1151"/>
      <c r="FU281" s="1151"/>
      <c r="FV281" s="1151"/>
      <c r="FW281" s="1151"/>
      <c r="FX281" s="1151"/>
      <c r="FY281" s="1488"/>
      <c r="FZ281" s="1488"/>
      <c r="GA281" s="1488"/>
      <c r="GB281" s="1485"/>
      <c r="GC281" s="1485"/>
      <c r="GD281" s="1485"/>
      <c r="GE281" s="1485"/>
      <c r="GF281" s="1485"/>
      <c r="GG281" s="1485"/>
      <c r="GH281" s="1485"/>
    </row>
    <row r="282" spans="144:190" s="1295" customFormat="1" x14ac:dyDescent="0.25">
      <c r="EN282" s="1485"/>
      <c r="EO282" s="1485"/>
      <c r="EP282" s="1485"/>
      <c r="EQ282" s="1485"/>
      <c r="ER282" s="1485"/>
      <c r="ES282" s="1485"/>
      <c r="ET282" s="1485"/>
      <c r="EU282" s="1485"/>
      <c r="EV282" s="1485"/>
      <c r="EW282" s="1485"/>
      <c r="EX282" s="1486"/>
      <c r="EY282" s="1486"/>
      <c r="EZ282" s="1487"/>
      <c r="FA282" s="1487"/>
      <c r="FB282" s="1151"/>
      <c r="FC282" s="1151"/>
      <c r="FD282" s="1293"/>
      <c r="FE282" s="1293"/>
      <c r="FF282" s="1293"/>
      <c r="FG282" s="1151"/>
      <c r="FH282" s="1151"/>
      <c r="FI282" s="1151"/>
      <c r="FJ282" s="1151"/>
      <c r="FK282" s="1151"/>
      <c r="FL282" s="1151"/>
      <c r="FM282" s="1151"/>
      <c r="FN282" s="1151"/>
      <c r="FO282" s="1151"/>
      <c r="FP282" s="1151"/>
      <c r="FQ282" s="1151"/>
      <c r="FR282" s="1151"/>
      <c r="FS282" s="1151"/>
      <c r="FT282" s="1151"/>
      <c r="FU282" s="1151"/>
      <c r="FV282" s="1151"/>
      <c r="FW282" s="1151"/>
      <c r="FX282" s="1151"/>
      <c r="FY282" s="1488"/>
      <c r="FZ282" s="1488"/>
      <c r="GA282" s="1488"/>
      <c r="GB282" s="1485"/>
      <c r="GC282" s="1485"/>
      <c r="GD282" s="1485"/>
      <c r="GE282" s="1485"/>
      <c r="GF282" s="1485"/>
      <c r="GG282" s="1485"/>
      <c r="GH282" s="1485"/>
    </row>
    <row r="283" spans="144:190" s="1295" customFormat="1" x14ac:dyDescent="0.25">
      <c r="EN283" s="1485"/>
      <c r="EO283" s="1485"/>
      <c r="EP283" s="1485"/>
      <c r="EQ283" s="1485"/>
      <c r="ER283" s="1485"/>
      <c r="ES283" s="1485"/>
      <c r="ET283" s="1485"/>
      <c r="EU283" s="1485"/>
      <c r="EV283" s="1485"/>
      <c r="EW283" s="1485"/>
      <c r="EX283" s="1486"/>
      <c r="EY283" s="1486"/>
      <c r="EZ283" s="1487"/>
      <c r="FA283" s="1487"/>
      <c r="FB283" s="1151"/>
      <c r="FC283" s="1151"/>
      <c r="FD283" s="1293"/>
      <c r="FE283" s="1293"/>
      <c r="FF283" s="1293"/>
      <c r="FG283" s="1151"/>
      <c r="FH283" s="1151"/>
      <c r="FI283" s="1151"/>
      <c r="FJ283" s="1151"/>
      <c r="FK283" s="1151"/>
      <c r="FL283" s="1151"/>
      <c r="FM283" s="1151"/>
      <c r="FN283" s="1151"/>
      <c r="FO283" s="1151"/>
      <c r="FP283" s="1151"/>
      <c r="FQ283" s="1151"/>
      <c r="FR283" s="1151"/>
      <c r="FS283" s="1151"/>
      <c r="FT283" s="1151"/>
      <c r="FU283" s="1151"/>
      <c r="FV283" s="1151"/>
      <c r="FW283" s="1151"/>
      <c r="FX283" s="1151"/>
      <c r="FY283" s="1488"/>
      <c r="FZ283" s="1488"/>
      <c r="GA283" s="1488"/>
      <c r="GB283" s="1485"/>
      <c r="GC283" s="1485"/>
      <c r="GD283" s="1485"/>
      <c r="GE283" s="1485"/>
      <c r="GF283" s="1485"/>
      <c r="GG283" s="1485"/>
      <c r="GH283" s="1485"/>
    </row>
    <row r="284" spans="144:190" s="1295" customFormat="1" x14ac:dyDescent="0.25">
      <c r="EN284" s="1485"/>
      <c r="EO284" s="1485"/>
      <c r="EP284" s="1485"/>
      <c r="EQ284" s="1485"/>
      <c r="ER284" s="1485"/>
      <c r="ES284" s="1485"/>
      <c r="ET284" s="1485"/>
      <c r="EU284" s="1485"/>
      <c r="EV284" s="1485"/>
      <c r="EW284" s="1485"/>
      <c r="EX284" s="1486"/>
      <c r="EY284" s="1486"/>
      <c r="EZ284" s="1487"/>
      <c r="FA284" s="1487"/>
      <c r="FB284" s="1151"/>
      <c r="FC284" s="1151"/>
      <c r="FD284" s="1293"/>
      <c r="FE284" s="1293"/>
      <c r="FF284" s="1293"/>
      <c r="FG284" s="1151"/>
      <c r="FH284" s="1151"/>
      <c r="FI284" s="1151"/>
      <c r="FJ284" s="1151"/>
      <c r="FK284" s="1151"/>
      <c r="FL284" s="1151"/>
      <c r="FM284" s="1151"/>
      <c r="FN284" s="1151"/>
      <c r="FO284" s="1151"/>
      <c r="FP284" s="1151"/>
      <c r="FQ284" s="1151"/>
      <c r="FR284" s="1151"/>
      <c r="FS284" s="1151"/>
      <c r="FT284" s="1151"/>
      <c r="FU284" s="1151"/>
      <c r="FV284" s="1151"/>
      <c r="FW284" s="1151"/>
      <c r="FX284" s="1151"/>
      <c r="FY284" s="1488"/>
      <c r="FZ284" s="1488"/>
      <c r="GA284" s="1488"/>
      <c r="GB284" s="1485"/>
      <c r="GC284" s="1485"/>
      <c r="GD284" s="1485"/>
      <c r="GE284" s="1485"/>
      <c r="GF284" s="1485"/>
      <c r="GG284" s="1485"/>
      <c r="GH284" s="1485"/>
    </row>
    <row r="285" spans="144:190" s="1295" customFormat="1" x14ac:dyDescent="0.25">
      <c r="EN285" s="1485"/>
      <c r="EO285" s="1485"/>
      <c r="EP285" s="1485"/>
      <c r="EQ285" s="1485"/>
      <c r="ER285" s="1485"/>
      <c r="ES285" s="1485"/>
      <c r="ET285" s="1485"/>
      <c r="EU285" s="1485"/>
      <c r="EV285" s="1485"/>
      <c r="EW285" s="1485"/>
      <c r="EX285" s="1486"/>
      <c r="EY285" s="1486"/>
      <c r="EZ285" s="1487"/>
      <c r="FA285" s="1487"/>
      <c r="FB285" s="1151"/>
      <c r="FC285" s="1151"/>
      <c r="FD285" s="1293"/>
      <c r="FE285" s="1293"/>
      <c r="FF285" s="1293"/>
      <c r="FG285" s="1151"/>
      <c r="FH285" s="1151"/>
      <c r="FI285" s="1151"/>
      <c r="FJ285" s="1151"/>
      <c r="FK285" s="1151"/>
      <c r="FL285" s="1151"/>
      <c r="FM285" s="1151"/>
      <c r="FN285" s="1151"/>
      <c r="FO285" s="1151"/>
      <c r="FP285" s="1151"/>
      <c r="FQ285" s="1151"/>
      <c r="FR285" s="1151"/>
      <c r="FS285" s="1151"/>
      <c r="FT285" s="1151"/>
      <c r="FU285" s="1151"/>
      <c r="FV285" s="1151"/>
      <c r="FW285" s="1151"/>
      <c r="FX285" s="1151"/>
      <c r="FY285" s="1488"/>
      <c r="FZ285" s="1488"/>
      <c r="GA285" s="1488"/>
      <c r="GB285" s="1485"/>
      <c r="GC285" s="1485"/>
      <c r="GD285" s="1485"/>
      <c r="GE285" s="1485"/>
      <c r="GF285" s="1485"/>
      <c r="GG285" s="1485"/>
      <c r="GH285" s="1485"/>
    </row>
    <row r="286" spans="144:190" s="1295" customFormat="1" x14ac:dyDescent="0.25">
      <c r="EN286" s="1485"/>
      <c r="EO286" s="1485"/>
      <c r="EP286" s="1485"/>
      <c r="EQ286" s="1485"/>
      <c r="ER286" s="1485"/>
      <c r="ES286" s="1485"/>
      <c r="ET286" s="1485"/>
      <c r="EU286" s="1485"/>
      <c r="EV286" s="1485"/>
      <c r="EW286" s="1485"/>
      <c r="EX286" s="1486"/>
      <c r="EY286" s="1486"/>
      <c r="EZ286" s="1487"/>
      <c r="FA286" s="1487"/>
      <c r="FB286" s="1151"/>
      <c r="FC286" s="1151"/>
      <c r="FD286" s="1293"/>
      <c r="FE286" s="1293"/>
      <c r="FF286" s="1293"/>
      <c r="FG286" s="1151"/>
      <c r="FH286" s="1151"/>
      <c r="FI286" s="1151"/>
      <c r="FJ286" s="1151"/>
      <c r="FK286" s="1151"/>
      <c r="FL286" s="1151"/>
      <c r="FM286" s="1151"/>
      <c r="FN286" s="1151"/>
      <c r="FO286" s="1151"/>
      <c r="FP286" s="1151"/>
      <c r="FQ286" s="1151"/>
      <c r="FR286" s="1151"/>
      <c r="FS286" s="1151"/>
      <c r="FT286" s="1151"/>
      <c r="FU286" s="1151"/>
      <c r="FV286" s="1151"/>
      <c r="FW286" s="1151"/>
      <c r="FX286" s="1151"/>
      <c r="FY286" s="1488"/>
      <c r="FZ286" s="1488"/>
      <c r="GA286" s="1488"/>
      <c r="GB286" s="1485"/>
      <c r="GC286" s="1485"/>
      <c r="GD286" s="1485"/>
      <c r="GE286" s="1485"/>
      <c r="GF286" s="1485"/>
      <c r="GG286" s="1485"/>
      <c r="GH286" s="1485"/>
    </row>
    <row r="287" spans="144:190" s="1295" customFormat="1" x14ac:dyDescent="0.25">
      <c r="EN287" s="1485"/>
      <c r="EO287" s="1485"/>
      <c r="EP287" s="1485"/>
      <c r="EQ287" s="1485"/>
      <c r="ER287" s="1485"/>
      <c r="ES287" s="1485"/>
      <c r="ET287" s="1485"/>
      <c r="EU287" s="1485"/>
      <c r="EV287" s="1485"/>
      <c r="EW287" s="1485"/>
      <c r="EX287" s="1486"/>
      <c r="EY287" s="1486"/>
      <c r="EZ287" s="1487"/>
      <c r="FA287" s="1487"/>
      <c r="FB287" s="1151"/>
      <c r="FC287" s="1151"/>
      <c r="FD287" s="1293"/>
      <c r="FE287" s="1293"/>
      <c r="FF287" s="1293"/>
      <c r="FG287" s="1151"/>
      <c r="FH287" s="1151"/>
      <c r="FI287" s="1151"/>
      <c r="FJ287" s="1151"/>
      <c r="FK287" s="1151"/>
      <c r="FL287" s="1151"/>
      <c r="FM287" s="1151"/>
      <c r="FN287" s="1151"/>
      <c r="FO287" s="1151"/>
      <c r="FP287" s="1151"/>
      <c r="FQ287" s="1151"/>
      <c r="FR287" s="1151"/>
      <c r="FS287" s="1151"/>
      <c r="FT287" s="1151"/>
      <c r="FU287" s="1151"/>
      <c r="FV287" s="1151"/>
      <c r="FW287" s="1151"/>
      <c r="FX287" s="1151"/>
      <c r="FY287" s="1488"/>
      <c r="FZ287" s="1488"/>
      <c r="GA287" s="1488"/>
      <c r="GB287" s="1485"/>
      <c r="GC287" s="1485"/>
      <c r="GD287" s="1485"/>
      <c r="GE287" s="1485"/>
      <c r="GF287" s="1485"/>
      <c r="GG287" s="1485"/>
      <c r="GH287" s="1485"/>
    </row>
    <row r="288" spans="144:190" s="1295" customFormat="1" x14ac:dyDescent="0.25">
      <c r="EN288" s="1485"/>
      <c r="EO288" s="1485"/>
      <c r="EP288" s="1485"/>
      <c r="EQ288" s="1485"/>
      <c r="ER288" s="1485"/>
      <c r="ES288" s="1485"/>
      <c r="ET288" s="1485"/>
      <c r="EU288" s="1485"/>
      <c r="EV288" s="1485"/>
      <c r="EW288" s="1485"/>
      <c r="EX288" s="1486"/>
      <c r="EY288" s="1486"/>
      <c r="EZ288" s="1487"/>
      <c r="FA288" s="1487"/>
      <c r="FB288" s="1151"/>
      <c r="FC288" s="1151"/>
      <c r="FD288" s="1293"/>
      <c r="FE288" s="1293"/>
      <c r="FF288" s="1293"/>
      <c r="FG288" s="1151"/>
      <c r="FH288" s="1151"/>
      <c r="FI288" s="1151"/>
      <c r="FJ288" s="1151"/>
      <c r="FK288" s="1151"/>
      <c r="FL288" s="1151"/>
      <c r="FM288" s="1151"/>
      <c r="FN288" s="1151"/>
      <c r="FO288" s="1151"/>
      <c r="FP288" s="1151"/>
      <c r="FQ288" s="1151"/>
      <c r="FR288" s="1151"/>
      <c r="FS288" s="1151"/>
      <c r="FT288" s="1151"/>
      <c r="FU288" s="1151"/>
      <c r="FV288" s="1151"/>
      <c r="FW288" s="1151"/>
      <c r="FX288" s="1151"/>
      <c r="FY288" s="1488"/>
      <c r="FZ288" s="1488"/>
      <c r="GA288" s="1488"/>
      <c r="GB288" s="1485"/>
      <c r="GC288" s="1485"/>
      <c r="GD288" s="1485"/>
      <c r="GE288" s="1485"/>
      <c r="GF288" s="1485"/>
      <c r="GG288" s="1485"/>
      <c r="GH288" s="1485"/>
    </row>
    <row r="289" spans="144:190" s="1295" customFormat="1" x14ac:dyDescent="0.25">
      <c r="EN289" s="1485"/>
      <c r="EO289" s="1485"/>
      <c r="EP289" s="1485"/>
      <c r="EQ289" s="1485"/>
      <c r="ER289" s="1485"/>
      <c r="ES289" s="1485"/>
      <c r="ET289" s="1485"/>
      <c r="EU289" s="1485"/>
      <c r="EV289" s="1485"/>
      <c r="EW289" s="1485"/>
      <c r="EX289" s="1486"/>
      <c r="EY289" s="1486"/>
      <c r="EZ289" s="1487"/>
      <c r="FA289" s="1487"/>
      <c r="FB289" s="1151"/>
      <c r="FC289" s="1151"/>
      <c r="FD289" s="1293"/>
      <c r="FE289" s="1293"/>
      <c r="FF289" s="1293"/>
      <c r="FG289" s="1151"/>
      <c r="FH289" s="1151"/>
      <c r="FI289" s="1151"/>
      <c r="FJ289" s="1151"/>
      <c r="FK289" s="1151"/>
      <c r="FL289" s="1151"/>
      <c r="FM289" s="1151"/>
      <c r="FN289" s="1151"/>
      <c r="FO289" s="1151"/>
      <c r="FP289" s="1151"/>
      <c r="FQ289" s="1151"/>
      <c r="FR289" s="1151"/>
      <c r="FS289" s="1151"/>
      <c r="FT289" s="1151"/>
      <c r="FU289" s="1151"/>
      <c r="FV289" s="1151"/>
      <c r="FW289" s="1151"/>
      <c r="FX289" s="1151"/>
      <c r="FY289" s="1488"/>
      <c r="FZ289" s="1488"/>
      <c r="GA289" s="1488"/>
      <c r="GB289" s="1485"/>
      <c r="GC289" s="1485"/>
      <c r="GD289" s="1485"/>
      <c r="GE289" s="1485"/>
      <c r="GF289" s="1485"/>
      <c r="GG289" s="1485"/>
      <c r="GH289" s="1485"/>
    </row>
    <row r="290" spans="144:190" s="1295" customFormat="1" x14ac:dyDescent="0.25">
      <c r="EN290" s="1485"/>
      <c r="EO290" s="1485"/>
      <c r="EP290" s="1485"/>
      <c r="EQ290" s="1485"/>
      <c r="ER290" s="1485"/>
      <c r="ES290" s="1485"/>
      <c r="ET290" s="1485"/>
      <c r="EU290" s="1485"/>
      <c r="EV290" s="1485"/>
      <c r="EW290" s="1485"/>
      <c r="EX290" s="1486"/>
      <c r="EY290" s="1486"/>
      <c r="EZ290" s="1487"/>
      <c r="FA290" s="1487"/>
      <c r="FB290" s="1151"/>
      <c r="FC290" s="1151"/>
      <c r="FD290" s="1293"/>
      <c r="FE290" s="1293"/>
      <c r="FF290" s="1293"/>
      <c r="FG290" s="1151"/>
      <c r="FH290" s="1151"/>
      <c r="FI290" s="1151"/>
      <c r="FJ290" s="1151"/>
      <c r="FK290" s="1151"/>
      <c r="FL290" s="1151"/>
      <c r="FM290" s="1151"/>
      <c r="FN290" s="1151"/>
      <c r="FO290" s="1151"/>
      <c r="FP290" s="1151"/>
      <c r="FQ290" s="1151"/>
      <c r="FR290" s="1151"/>
      <c r="FS290" s="1151"/>
      <c r="FT290" s="1151"/>
      <c r="FU290" s="1151"/>
      <c r="FV290" s="1151"/>
      <c r="FW290" s="1151"/>
      <c r="FX290" s="1151"/>
      <c r="FY290" s="1488"/>
      <c r="FZ290" s="1488"/>
      <c r="GA290" s="1488"/>
      <c r="GB290" s="1485"/>
      <c r="GC290" s="1485"/>
      <c r="GD290" s="1485"/>
      <c r="GE290" s="1485"/>
      <c r="GF290" s="1485"/>
      <c r="GG290" s="1485"/>
      <c r="GH290" s="1485"/>
    </row>
    <row r="291" spans="144:190" s="1295" customFormat="1" x14ac:dyDescent="0.25">
      <c r="EN291" s="1485"/>
      <c r="EO291" s="1485"/>
      <c r="EP291" s="1485"/>
      <c r="EQ291" s="1485"/>
      <c r="ER291" s="1485"/>
      <c r="ES291" s="1485"/>
      <c r="ET291" s="1485"/>
      <c r="EU291" s="1485"/>
      <c r="EV291" s="1485"/>
      <c r="EW291" s="1485"/>
      <c r="EX291" s="1486"/>
      <c r="EY291" s="1486"/>
      <c r="EZ291" s="1487"/>
      <c r="FA291" s="1487"/>
      <c r="FB291" s="1151"/>
      <c r="FC291" s="1151"/>
      <c r="FD291" s="1293"/>
      <c r="FE291" s="1293"/>
      <c r="FF291" s="1293"/>
      <c r="FG291" s="1151"/>
      <c r="FH291" s="1151"/>
      <c r="FI291" s="1151"/>
      <c r="FJ291" s="1151"/>
      <c r="FK291" s="1151"/>
      <c r="FL291" s="1151"/>
      <c r="FM291" s="1151"/>
      <c r="FN291" s="1151"/>
      <c r="FO291" s="1151"/>
      <c r="FP291" s="1151"/>
      <c r="FQ291" s="1151"/>
      <c r="FR291" s="1151"/>
      <c r="FS291" s="1151"/>
      <c r="FT291" s="1151"/>
      <c r="FU291" s="1151"/>
      <c r="FV291" s="1151"/>
      <c r="FW291" s="1151"/>
      <c r="FX291" s="1151"/>
      <c r="FY291" s="1488"/>
      <c r="FZ291" s="1488"/>
      <c r="GA291" s="1488"/>
      <c r="GB291" s="1485"/>
      <c r="GC291" s="1485"/>
      <c r="GD291" s="1485"/>
      <c r="GE291" s="1485"/>
      <c r="GF291" s="1485"/>
      <c r="GG291" s="1485"/>
      <c r="GH291" s="1485"/>
    </row>
    <row r="292" spans="144:190" s="1295" customFormat="1" x14ac:dyDescent="0.25">
      <c r="EN292" s="1485"/>
      <c r="EO292" s="1485"/>
      <c r="EP292" s="1485"/>
      <c r="EQ292" s="1485"/>
      <c r="ER292" s="1485"/>
      <c r="ES292" s="1485"/>
      <c r="ET292" s="1485"/>
      <c r="EU292" s="1485"/>
      <c r="EV292" s="1485"/>
      <c r="EW292" s="1485"/>
      <c r="EX292" s="1486"/>
      <c r="EY292" s="1486"/>
      <c r="EZ292" s="1487"/>
      <c r="FA292" s="1487"/>
      <c r="FB292" s="1151"/>
      <c r="FC292" s="1151"/>
      <c r="FD292" s="1293"/>
      <c r="FE292" s="1293"/>
      <c r="FF292" s="1293"/>
      <c r="FG292" s="1151"/>
      <c r="FH292" s="1151"/>
      <c r="FI292" s="1151"/>
      <c r="FJ292" s="1151"/>
      <c r="FK292" s="1151"/>
      <c r="FL292" s="1151"/>
      <c r="FM292" s="1151"/>
      <c r="FN292" s="1151"/>
      <c r="FO292" s="1151"/>
      <c r="FP292" s="1151"/>
      <c r="FQ292" s="1151"/>
      <c r="FR292" s="1151"/>
      <c r="FS292" s="1151"/>
      <c r="FT292" s="1151"/>
      <c r="FU292" s="1151"/>
      <c r="FV292" s="1151"/>
      <c r="FW292" s="1151"/>
      <c r="FX292" s="1151"/>
      <c r="FY292" s="1488"/>
      <c r="FZ292" s="1488"/>
      <c r="GA292" s="1488"/>
      <c r="GB292" s="1485"/>
      <c r="GC292" s="1485"/>
      <c r="GD292" s="1485"/>
      <c r="GE292" s="1485"/>
      <c r="GF292" s="1485"/>
      <c r="GG292" s="1485"/>
      <c r="GH292" s="1485"/>
    </row>
    <row r="293" spans="144:190" s="1295" customFormat="1" x14ac:dyDescent="0.25">
      <c r="EN293" s="1485"/>
      <c r="EO293" s="1485"/>
      <c r="EP293" s="1485"/>
      <c r="EQ293" s="1485"/>
      <c r="ER293" s="1485"/>
      <c r="ES293" s="1485"/>
      <c r="ET293" s="1485"/>
      <c r="EU293" s="1485"/>
      <c r="EV293" s="1485"/>
      <c r="EW293" s="1485"/>
      <c r="EX293" s="1486"/>
      <c r="EY293" s="1486"/>
      <c r="EZ293" s="1487"/>
      <c r="FA293" s="1487"/>
      <c r="FB293" s="1151"/>
      <c r="FC293" s="1151"/>
      <c r="FD293" s="1293"/>
      <c r="FE293" s="1293"/>
      <c r="FF293" s="1293"/>
      <c r="FG293" s="1151"/>
      <c r="FH293" s="1151"/>
      <c r="FI293" s="1151"/>
      <c r="FJ293" s="1151"/>
      <c r="FK293" s="1151"/>
      <c r="FL293" s="1151"/>
      <c r="FM293" s="1151"/>
      <c r="FN293" s="1151"/>
      <c r="FO293" s="1151"/>
      <c r="FP293" s="1151"/>
      <c r="FQ293" s="1151"/>
      <c r="FR293" s="1151"/>
      <c r="FS293" s="1151"/>
      <c r="FT293" s="1151"/>
      <c r="FU293" s="1151"/>
      <c r="FV293" s="1151"/>
      <c r="FW293" s="1151"/>
      <c r="FX293" s="1151"/>
      <c r="FY293" s="1488"/>
      <c r="FZ293" s="1488"/>
      <c r="GA293" s="1488"/>
      <c r="GB293" s="1485"/>
      <c r="GC293" s="1485"/>
      <c r="GD293" s="1485"/>
      <c r="GE293" s="1485"/>
      <c r="GF293" s="1485"/>
      <c r="GG293" s="1485"/>
      <c r="GH293" s="1485"/>
    </row>
    <row r="294" spans="144:190" s="1295" customFormat="1" x14ac:dyDescent="0.25">
      <c r="EN294" s="1485"/>
      <c r="EO294" s="1485"/>
      <c r="EP294" s="1485"/>
      <c r="EQ294" s="1485"/>
      <c r="ER294" s="1485"/>
      <c r="ES294" s="1485"/>
      <c r="ET294" s="1485"/>
      <c r="EU294" s="1485"/>
      <c r="EV294" s="1485"/>
      <c r="EW294" s="1485"/>
      <c r="EX294" s="1486"/>
      <c r="EY294" s="1486"/>
      <c r="EZ294" s="1487"/>
      <c r="FA294" s="1487"/>
      <c r="FB294" s="1151"/>
      <c r="FC294" s="1151"/>
      <c r="FD294" s="1293"/>
      <c r="FE294" s="1293"/>
      <c r="FF294" s="1293"/>
      <c r="FG294" s="1151"/>
      <c r="FH294" s="1151"/>
      <c r="FI294" s="1151"/>
      <c r="FJ294" s="1151"/>
      <c r="FK294" s="1151"/>
      <c r="FL294" s="1151"/>
      <c r="FM294" s="1151"/>
      <c r="FN294" s="1151"/>
      <c r="FO294" s="1151"/>
      <c r="FP294" s="1151"/>
      <c r="FQ294" s="1151"/>
      <c r="FR294" s="1151"/>
      <c r="FS294" s="1151"/>
      <c r="FT294" s="1151"/>
      <c r="FU294" s="1151"/>
      <c r="FV294" s="1151"/>
      <c r="FW294" s="1151"/>
      <c r="FX294" s="1151"/>
      <c r="FY294" s="1488"/>
      <c r="FZ294" s="1488"/>
      <c r="GA294" s="1488"/>
      <c r="GB294" s="1485"/>
      <c r="GC294" s="1485"/>
      <c r="GD294" s="1485"/>
      <c r="GE294" s="1485"/>
      <c r="GF294" s="1485"/>
      <c r="GG294" s="1485"/>
      <c r="GH294" s="1485"/>
    </row>
    <row r="295" spans="144:190" s="1295" customFormat="1" x14ac:dyDescent="0.25">
      <c r="EN295" s="1485"/>
      <c r="EO295" s="1485"/>
      <c r="EP295" s="1485"/>
      <c r="EQ295" s="1485"/>
      <c r="ER295" s="1485"/>
      <c r="ES295" s="1485"/>
      <c r="ET295" s="1485"/>
      <c r="EU295" s="1485"/>
      <c r="EV295" s="1485"/>
      <c r="EW295" s="1485"/>
      <c r="EX295" s="1486"/>
      <c r="EY295" s="1486"/>
      <c r="EZ295" s="1487"/>
      <c r="FA295" s="1487"/>
      <c r="FB295" s="1151"/>
      <c r="FC295" s="1151"/>
      <c r="FD295" s="1293"/>
      <c r="FE295" s="1293"/>
      <c r="FF295" s="1293"/>
      <c r="FG295" s="1151"/>
      <c r="FH295" s="1151"/>
      <c r="FI295" s="1151"/>
      <c r="FJ295" s="1151"/>
      <c r="FK295" s="1151"/>
      <c r="FL295" s="1151"/>
      <c r="FM295" s="1151"/>
      <c r="FN295" s="1151"/>
      <c r="FO295" s="1151"/>
      <c r="FP295" s="1151"/>
      <c r="FQ295" s="1151"/>
      <c r="FR295" s="1151"/>
      <c r="FS295" s="1151"/>
      <c r="FT295" s="1151"/>
      <c r="FU295" s="1151"/>
      <c r="FV295" s="1151"/>
      <c r="FW295" s="1151"/>
      <c r="FX295" s="1151"/>
      <c r="FY295" s="1488"/>
      <c r="FZ295" s="1488"/>
      <c r="GA295" s="1488"/>
      <c r="GB295" s="1485"/>
      <c r="GC295" s="1485"/>
      <c r="GD295" s="1485"/>
      <c r="GE295" s="1485"/>
      <c r="GF295" s="1485"/>
      <c r="GG295" s="1485"/>
      <c r="GH295" s="1485"/>
    </row>
    <row r="296" spans="144:190" s="1295" customFormat="1" x14ac:dyDescent="0.25">
      <c r="EN296" s="1485"/>
      <c r="EO296" s="1485"/>
      <c r="EP296" s="1485"/>
      <c r="EQ296" s="1485"/>
      <c r="ER296" s="1485"/>
      <c r="ES296" s="1485"/>
      <c r="ET296" s="1485"/>
      <c r="EU296" s="1485"/>
      <c r="EV296" s="1485"/>
      <c r="EW296" s="1485"/>
      <c r="EX296" s="1486"/>
      <c r="EY296" s="1486"/>
      <c r="EZ296" s="1487"/>
      <c r="FA296" s="1487"/>
      <c r="FB296" s="1151"/>
      <c r="FC296" s="1151"/>
      <c r="FD296" s="1293"/>
      <c r="FE296" s="1293"/>
      <c r="FF296" s="1293"/>
      <c r="FG296" s="1151"/>
      <c r="FH296" s="1151"/>
      <c r="FI296" s="1151"/>
      <c r="FJ296" s="1151"/>
      <c r="FK296" s="1151"/>
      <c r="FL296" s="1151"/>
      <c r="FM296" s="1151"/>
      <c r="FN296" s="1151"/>
      <c r="FO296" s="1151"/>
      <c r="FP296" s="1151"/>
      <c r="FQ296" s="1151"/>
      <c r="FR296" s="1151"/>
      <c r="FS296" s="1151"/>
      <c r="FT296" s="1151"/>
      <c r="FU296" s="1151"/>
      <c r="FV296" s="1151"/>
      <c r="FW296" s="1151"/>
      <c r="FX296" s="1151"/>
      <c r="FY296" s="1488"/>
      <c r="FZ296" s="1488"/>
      <c r="GA296" s="1488"/>
      <c r="GB296" s="1485"/>
      <c r="GC296" s="1485"/>
      <c r="GD296" s="1485"/>
      <c r="GE296" s="1485"/>
      <c r="GF296" s="1485"/>
      <c r="GG296" s="1485"/>
      <c r="GH296" s="1485"/>
    </row>
    <row r="297" spans="144:190" s="1295" customFormat="1" x14ac:dyDescent="0.25">
      <c r="EN297" s="1485"/>
      <c r="EO297" s="1485"/>
      <c r="EP297" s="1485"/>
      <c r="EQ297" s="1485"/>
      <c r="ER297" s="1485"/>
      <c r="ES297" s="1485"/>
      <c r="ET297" s="1485"/>
      <c r="EU297" s="1485"/>
      <c r="EV297" s="1485"/>
      <c r="EW297" s="1485"/>
      <c r="EX297" s="1486"/>
      <c r="EY297" s="1486"/>
      <c r="EZ297" s="1487"/>
      <c r="FA297" s="1487"/>
      <c r="FB297" s="1151"/>
      <c r="FC297" s="1151"/>
      <c r="FD297" s="1293"/>
      <c r="FE297" s="1293"/>
      <c r="FF297" s="1293"/>
      <c r="FG297" s="1151"/>
      <c r="FH297" s="1151"/>
      <c r="FI297" s="1151"/>
      <c r="FJ297" s="1151"/>
      <c r="FK297" s="1151"/>
      <c r="FL297" s="1151"/>
      <c r="FM297" s="1151"/>
      <c r="FN297" s="1151"/>
      <c r="FO297" s="1151"/>
      <c r="FP297" s="1151"/>
      <c r="FQ297" s="1151"/>
      <c r="FR297" s="1151"/>
      <c r="FS297" s="1151"/>
      <c r="FT297" s="1151"/>
      <c r="FU297" s="1151"/>
      <c r="FV297" s="1151"/>
      <c r="FW297" s="1151"/>
      <c r="FX297" s="1151"/>
      <c r="FY297" s="1488"/>
      <c r="FZ297" s="1488"/>
      <c r="GA297" s="1488"/>
      <c r="GB297" s="1485"/>
      <c r="GC297" s="1485"/>
      <c r="GD297" s="1485"/>
      <c r="GE297" s="1485"/>
      <c r="GF297" s="1485"/>
      <c r="GG297" s="1485"/>
      <c r="GH297" s="1485"/>
    </row>
    <row r="298" spans="144:190" s="1295" customFormat="1" x14ac:dyDescent="0.25">
      <c r="EN298" s="1485"/>
      <c r="EO298" s="1485"/>
      <c r="EP298" s="1485"/>
      <c r="EQ298" s="1485"/>
      <c r="ER298" s="1485"/>
      <c r="ES298" s="1485"/>
      <c r="ET298" s="1485"/>
      <c r="EU298" s="1485"/>
      <c r="EV298" s="1485"/>
      <c r="EW298" s="1485"/>
      <c r="EX298" s="1486"/>
      <c r="EY298" s="1486"/>
      <c r="EZ298" s="1487"/>
      <c r="FA298" s="1487"/>
      <c r="FB298" s="1151"/>
      <c r="FC298" s="1151"/>
      <c r="FD298" s="1293"/>
      <c r="FE298" s="1293"/>
      <c r="FF298" s="1293"/>
      <c r="FG298" s="1151"/>
      <c r="FH298" s="1151"/>
      <c r="FI298" s="1151"/>
      <c r="FJ298" s="1151"/>
      <c r="FK298" s="1151"/>
      <c r="FL298" s="1151"/>
      <c r="FM298" s="1151"/>
      <c r="FN298" s="1151"/>
      <c r="FO298" s="1151"/>
      <c r="FP298" s="1151"/>
      <c r="FQ298" s="1151"/>
      <c r="FR298" s="1151"/>
      <c r="FS298" s="1151"/>
      <c r="FT298" s="1151"/>
      <c r="FU298" s="1151"/>
      <c r="FV298" s="1151"/>
      <c r="FW298" s="1151"/>
      <c r="FX298" s="1151"/>
      <c r="FY298" s="1488"/>
      <c r="FZ298" s="1488"/>
      <c r="GA298" s="1488"/>
      <c r="GB298" s="1485"/>
      <c r="GC298" s="1485"/>
      <c r="GD298" s="1485"/>
      <c r="GE298" s="1485"/>
      <c r="GF298" s="1485"/>
      <c r="GG298" s="1485"/>
      <c r="GH298" s="1485"/>
    </row>
    <row r="299" spans="144:190" s="1295" customFormat="1" x14ac:dyDescent="0.25">
      <c r="EN299" s="1485"/>
      <c r="EO299" s="1485"/>
      <c r="EP299" s="1485"/>
      <c r="EQ299" s="1485"/>
      <c r="ER299" s="1485"/>
      <c r="ES299" s="1485"/>
      <c r="ET299" s="1485"/>
      <c r="EU299" s="1485"/>
      <c r="EV299" s="1485"/>
      <c r="EW299" s="1485"/>
      <c r="EX299" s="1486"/>
      <c r="EY299" s="1486"/>
      <c r="EZ299" s="1487"/>
      <c r="FA299" s="1487"/>
      <c r="FB299" s="1151"/>
      <c r="FC299" s="1151"/>
      <c r="FD299" s="1293"/>
      <c r="FE299" s="1293"/>
      <c r="FF299" s="1293"/>
      <c r="FG299" s="1151"/>
      <c r="FH299" s="1151"/>
      <c r="FI299" s="1151"/>
      <c r="FJ299" s="1151"/>
      <c r="FK299" s="1151"/>
      <c r="FL299" s="1151"/>
      <c r="FM299" s="1151"/>
      <c r="FN299" s="1151"/>
      <c r="FO299" s="1151"/>
      <c r="FP299" s="1151"/>
      <c r="FQ299" s="1151"/>
      <c r="FR299" s="1151"/>
      <c r="FS299" s="1151"/>
      <c r="FT299" s="1151"/>
      <c r="FU299" s="1151"/>
      <c r="FV299" s="1151"/>
      <c r="FW299" s="1151"/>
      <c r="FX299" s="1151"/>
      <c r="FY299" s="1488"/>
      <c r="FZ299" s="1488"/>
      <c r="GA299" s="1488"/>
      <c r="GB299" s="1485"/>
      <c r="GC299" s="1485"/>
      <c r="GD299" s="1485"/>
      <c r="GE299" s="1485"/>
      <c r="GF299" s="1485"/>
      <c r="GG299" s="1485"/>
      <c r="GH299" s="1485"/>
    </row>
    <row r="300" spans="144:190" s="1295" customFormat="1" x14ac:dyDescent="0.25">
      <c r="EN300" s="1485"/>
      <c r="EO300" s="1485"/>
      <c r="EP300" s="1485"/>
      <c r="EQ300" s="1485"/>
      <c r="ER300" s="1485"/>
      <c r="ES300" s="1485"/>
      <c r="ET300" s="1485"/>
      <c r="EU300" s="1485"/>
      <c r="EV300" s="1485"/>
      <c r="EW300" s="1485"/>
      <c r="EX300" s="1486"/>
      <c r="EY300" s="1486"/>
      <c r="EZ300" s="1487"/>
      <c r="FA300" s="1487"/>
      <c r="FB300" s="1151"/>
      <c r="FC300" s="1151"/>
      <c r="FD300" s="1293"/>
      <c r="FE300" s="1293"/>
      <c r="FF300" s="1293"/>
      <c r="FG300" s="1151"/>
      <c r="FH300" s="1151"/>
      <c r="FI300" s="1151"/>
      <c r="FJ300" s="1151"/>
      <c r="FK300" s="1151"/>
      <c r="FL300" s="1151"/>
      <c r="FM300" s="1151"/>
      <c r="FN300" s="1151"/>
      <c r="FO300" s="1151"/>
      <c r="FP300" s="1151"/>
      <c r="FQ300" s="1151"/>
      <c r="FR300" s="1151"/>
      <c r="FS300" s="1151"/>
      <c r="FT300" s="1151"/>
      <c r="FU300" s="1151"/>
      <c r="FV300" s="1151"/>
      <c r="FW300" s="1151"/>
      <c r="FX300" s="1151"/>
      <c r="FY300" s="1488"/>
      <c r="FZ300" s="1488"/>
      <c r="GA300" s="1488"/>
      <c r="GB300" s="1485"/>
      <c r="GC300" s="1485"/>
      <c r="GD300" s="1485"/>
      <c r="GE300" s="1485"/>
      <c r="GF300" s="1485"/>
      <c r="GG300" s="1485"/>
      <c r="GH300" s="1485"/>
    </row>
    <row r="301" spans="144:190" s="1295" customFormat="1" x14ac:dyDescent="0.25">
      <c r="EN301" s="1485"/>
      <c r="EO301" s="1485"/>
      <c r="EP301" s="1485"/>
      <c r="EQ301" s="1485"/>
      <c r="ER301" s="1485"/>
      <c r="ES301" s="1485"/>
      <c r="ET301" s="1485"/>
      <c r="EU301" s="1485"/>
      <c r="EV301" s="1485"/>
      <c r="EW301" s="1485"/>
      <c r="EX301" s="1486"/>
      <c r="EY301" s="1486"/>
      <c r="EZ301" s="1487"/>
      <c r="FA301" s="1487"/>
      <c r="FB301" s="1151"/>
      <c r="FC301" s="1151"/>
      <c r="FD301" s="1293"/>
      <c r="FE301" s="1293"/>
      <c r="FF301" s="1293"/>
      <c r="FG301" s="1151"/>
      <c r="FH301" s="1151"/>
      <c r="FI301" s="1151"/>
      <c r="FJ301" s="1151"/>
      <c r="FK301" s="1151"/>
      <c r="FL301" s="1151"/>
      <c r="FM301" s="1151"/>
      <c r="FN301" s="1151"/>
      <c r="FO301" s="1151"/>
      <c r="FP301" s="1151"/>
      <c r="FQ301" s="1151"/>
      <c r="FR301" s="1151"/>
      <c r="FS301" s="1151"/>
      <c r="FT301" s="1151"/>
      <c r="FU301" s="1151"/>
      <c r="FV301" s="1151"/>
      <c r="FW301" s="1151"/>
      <c r="FX301" s="1151"/>
      <c r="FY301" s="1488"/>
      <c r="FZ301" s="1488"/>
      <c r="GA301" s="1488"/>
      <c r="GB301" s="1485"/>
      <c r="GC301" s="1485"/>
      <c r="GD301" s="1485"/>
      <c r="GE301" s="1485"/>
      <c r="GF301" s="1485"/>
      <c r="GG301" s="1485"/>
      <c r="GH301" s="1485"/>
    </row>
    <row r="302" spans="144:190" s="1295" customFormat="1" x14ac:dyDescent="0.25">
      <c r="EN302" s="1485"/>
      <c r="EO302" s="1485"/>
      <c r="EP302" s="1485"/>
      <c r="EQ302" s="1485"/>
      <c r="ER302" s="1485"/>
      <c r="ES302" s="1485"/>
      <c r="ET302" s="1485"/>
      <c r="EU302" s="1485"/>
      <c r="EV302" s="1485"/>
      <c r="EW302" s="1485"/>
      <c r="EX302" s="1486"/>
      <c r="EY302" s="1486"/>
      <c r="EZ302" s="1487"/>
      <c r="FA302" s="1487"/>
      <c r="FB302" s="1151"/>
      <c r="FC302" s="1151"/>
      <c r="FD302" s="1293"/>
      <c r="FE302" s="1293"/>
      <c r="FF302" s="1293"/>
      <c r="FG302" s="1151"/>
      <c r="FH302" s="1151"/>
      <c r="FI302" s="1151"/>
      <c r="FJ302" s="1151"/>
      <c r="FK302" s="1151"/>
      <c r="FL302" s="1151"/>
      <c r="FM302" s="1151"/>
      <c r="FN302" s="1151"/>
      <c r="FO302" s="1151"/>
      <c r="FP302" s="1151"/>
      <c r="FQ302" s="1151"/>
      <c r="FR302" s="1151"/>
      <c r="FS302" s="1151"/>
      <c r="FT302" s="1151"/>
      <c r="FU302" s="1151"/>
      <c r="FV302" s="1151"/>
      <c r="FW302" s="1151"/>
      <c r="FX302" s="1151"/>
      <c r="FY302" s="1488"/>
      <c r="FZ302" s="1488"/>
      <c r="GA302" s="1488"/>
      <c r="GB302" s="1485"/>
      <c r="GC302" s="1485"/>
      <c r="GD302" s="1485"/>
      <c r="GE302" s="1485"/>
      <c r="GF302" s="1485"/>
      <c r="GG302" s="1485"/>
      <c r="GH302" s="1485"/>
    </row>
    <row r="303" spans="144:190" s="1295" customFormat="1" x14ac:dyDescent="0.25">
      <c r="EN303" s="1485"/>
      <c r="EO303" s="1485"/>
      <c r="EP303" s="1485"/>
      <c r="EQ303" s="1485"/>
      <c r="ER303" s="1485"/>
      <c r="ES303" s="1485"/>
      <c r="ET303" s="1485"/>
      <c r="EU303" s="1485"/>
      <c r="EV303" s="1485"/>
      <c r="EW303" s="1485"/>
      <c r="EX303" s="1486"/>
      <c r="EY303" s="1486"/>
      <c r="EZ303" s="1487"/>
      <c r="FA303" s="1487"/>
      <c r="FB303" s="1151"/>
      <c r="FC303" s="1151"/>
      <c r="FD303" s="1293"/>
      <c r="FE303" s="1293"/>
      <c r="FF303" s="1293"/>
      <c r="FG303" s="1151"/>
      <c r="FH303" s="1151"/>
      <c r="FI303" s="1151"/>
      <c r="FJ303" s="1151"/>
      <c r="FK303" s="1151"/>
      <c r="FL303" s="1151"/>
      <c r="FM303" s="1151"/>
      <c r="FN303" s="1151"/>
      <c r="FO303" s="1151"/>
      <c r="FP303" s="1151"/>
      <c r="FQ303" s="1151"/>
      <c r="FR303" s="1151"/>
      <c r="FS303" s="1151"/>
      <c r="FT303" s="1151"/>
      <c r="FU303" s="1151"/>
      <c r="FV303" s="1151"/>
      <c r="FW303" s="1151"/>
      <c r="FX303" s="1151"/>
      <c r="FY303" s="1488"/>
      <c r="FZ303" s="1488"/>
      <c r="GA303" s="1488"/>
      <c r="GB303" s="1485"/>
      <c r="GC303" s="1485"/>
      <c r="GD303" s="1485"/>
      <c r="GE303" s="1485"/>
      <c r="GF303" s="1485"/>
      <c r="GG303" s="1485"/>
      <c r="GH303" s="1485"/>
    </row>
    <row r="304" spans="144:190" s="1295" customFormat="1" x14ac:dyDescent="0.25">
      <c r="EN304" s="1485"/>
      <c r="EO304" s="1485"/>
      <c r="EP304" s="1485"/>
      <c r="EQ304" s="1485"/>
      <c r="ER304" s="1485"/>
      <c r="ES304" s="1485"/>
      <c r="ET304" s="1485"/>
      <c r="EU304" s="1485"/>
      <c r="EV304" s="1485"/>
      <c r="EW304" s="1485"/>
      <c r="EX304" s="1486"/>
      <c r="EY304" s="1486"/>
      <c r="EZ304" s="1487"/>
      <c r="FA304" s="1487"/>
      <c r="FB304" s="1151"/>
      <c r="FC304" s="1151"/>
      <c r="FD304" s="1293"/>
      <c r="FE304" s="1293"/>
      <c r="FF304" s="1293"/>
      <c r="FG304" s="1151"/>
      <c r="FH304" s="1151"/>
      <c r="FI304" s="1151"/>
      <c r="FJ304" s="1151"/>
      <c r="FK304" s="1151"/>
      <c r="FL304" s="1151"/>
      <c r="FM304" s="1151"/>
      <c r="FN304" s="1151"/>
      <c r="FO304" s="1151"/>
      <c r="FP304" s="1151"/>
      <c r="FQ304" s="1151"/>
      <c r="FR304" s="1151"/>
      <c r="FS304" s="1151"/>
      <c r="FT304" s="1151"/>
      <c r="FU304" s="1151"/>
      <c r="FV304" s="1151"/>
      <c r="FW304" s="1151"/>
      <c r="FX304" s="1151"/>
      <c r="FY304" s="1488"/>
      <c r="FZ304" s="1488"/>
      <c r="GA304" s="1488"/>
      <c r="GB304" s="1485"/>
      <c r="GC304" s="1485"/>
      <c r="GD304" s="1485"/>
      <c r="GE304" s="1485"/>
      <c r="GF304" s="1485"/>
      <c r="GG304" s="1485"/>
      <c r="GH304" s="1485"/>
    </row>
    <row r="305" spans="144:190" s="1295" customFormat="1" x14ac:dyDescent="0.25">
      <c r="EN305" s="1485"/>
      <c r="EO305" s="1485"/>
      <c r="EP305" s="1485"/>
      <c r="EQ305" s="1485"/>
      <c r="ER305" s="1485"/>
      <c r="ES305" s="1485"/>
      <c r="ET305" s="1485"/>
      <c r="EU305" s="1485"/>
      <c r="EV305" s="1485"/>
      <c r="EW305" s="1485"/>
      <c r="EX305" s="1486"/>
      <c r="EY305" s="1486"/>
      <c r="EZ305" s="1487"/>
      <c r="FA305" s="1487"/>
      <c r="FB305" s="1151"/>
      <c r="FC305" s="1151"/>
      <c r="FD305" s="1293"/>
      <c r="FE305" s="1293"/>
      <c r="FF305" s="1293"/>
      <c r="FG305" s="1151"/>
      <c r="FH305" s="1151"/>
      <c r="FI305" s="1151"/>
      <c r="FJ305" s="1151"/>
      <c r="FK305" s="1151"/>
      <c r="FL305" s="1151"/>
      <c r="FM305" s="1151"/>
      <c r="FN305" s="1151"/>
      <c r="FO305" s="1151"/>
      <c r="FP305" s="1151"/>
      <c r="FQ305" s="1151"/>
      <c r="FR305" s="1151"/>
      <c r="FS305" s="1151"/>
      <c r="FT305" s="1151"/>
      <c r="FU305" s="1151"/>
      <c r="FV305" s="1151"/>
      <c r="FW305" s="1151"/>
      <c r="FX305" s="1151"/>
      <c r="FY305" s="1488"/>
      <c r="FZ305" s="1488"/>
      <c r="GA305" s="1488"/>
      <c r="GB305" s="1485"/>
      <c r="GC305" s="1485"/>
      <c r="GD305" s="1485"/>
      <c r="GE305" s="1485"/>
      <c r="GF305" s="1485"/>
      <c r="GG305" s="1485"/>
      <c r="GH305" s="1485"/>
    </row>
    <row r="306" spans="144:190" s="1295" customFormat="1" x14ac:dyDescent="0.25">
      <c r="EN306" s="1485"/>
      <c r="EO306" s="1485"/>
      <c r="EP306" s="1485"/>
      <c r="EQ306" s="1485"/>
      <c r="ER306" s="1485"/>
      <c r="ES306" s="1485"/>
      <c r="ET306" s="1485"/>
      <c r="EU306" s="1485"/>
      <c r="EV306" s="1485"/>
      <c r="EW306" s="1485"/>
      <c r="EX306" s="1486"/>
      <c r="EY306" s="1486"/>
      <c r="EZ306" s="1487"/>
      <c r="FA306" s="1487"/>
      <c r="FB306" s="1151"/>
      <c r="FC306" s="1151"/>
      <c r="FD306" s="1293"/>
      <c r="FE306" s="1293"/>
      <c r="FF306" s="1293"/>
      <c r="FG306" s="1151"/>
      <c r="FH306" s="1151"/>
      <c r="FI306" s="1151"/>
      <c r="FJ306" s="1151"/>
      <c r="FK306" s="1151"/>
      <c r="FL306" s="1151"/>
      <c r="FM306" s="1151"/>
      <c r="FN306" s="1151"/>
      <c r="FO306" s="1151"/>
      <c r="FP306" s="1151"/>
      <c r="FQ306" s="1151"/>
      <c r="FR306" s="1151"/>
      <c r="FS306" s="1151"/>
      <c r="FT306" s="1151"/>
      <c r="FU306" s="1151"/>
      <c r="FV306" s="1151"/>
      <c r="FW306" s="1151"/>
      <c r="FX306" s="1151"/>
      <c r="FY306" s="1488"/>
      <c r="FZ306" s="1488"/>
      <c r="GA306" s="1488"/>
      <c r="GB306" s="1485"/>
      <c r="GC306" s="1485"/>
      <c r="GD306" s="1485"/>
      <c r="GE306" s="1485"/>
      <c r="GF306" s="1485"/>
      <c r="GG306" s="1485"/>
      <c r="GH306" s="1485"/>
    </row>
    <row r="307" spans="144:190" s="1295" customFormat="1" x14ac:dyDescent="0.25">
      <c r="EN307" s="1485"/>
      <c r="EO307" s="1485"/>
      <c r="EP307" s="1485"/>
      <c r="EQ307" s="1485"/>
      <c r="ER307" s="1485"/>
      <c r="ES307" s="1485"/>
      <c r="ET307" s="1485"/>
      <c r="EU307" s="1485"/>
      <c r="EV307" s="1485"/>
      <c r="EW307" s="1485"/>
      <c r="EX307" s="1486"/>
      <c r="EY307" s="1486"/>
      <c r="EZ307" s="1487"/>
      <c r="FA307" s="1487"/>
      <c r="FB307" s="1151"/>
      <c r="FC307" s="1151"/>
      <c r="FD307" s="1293"/>
      <c r="FE307" s="1293"/>
      <c r="FF307" s="1293"/>
      <c r="FG307" s="1151"/>
      <c r="FH307" s="1151"/>
      <c r="FI307" s="1151"/>
      <c r="FJ307" s="1151"/>
      <c r="FK307" s="1151"/>
      <c r="FL307" s="1151"/>
      <c r="FM307" s="1151"/>
      <c r="FN307" s="1151"/>
      <c r="FO307" s="1151"/>
      <c r="FP307" s="1151"/>
      <c r="FQ307" s="1151"/>
      <c r="FR307" s="1151"/>
      <c r="FS307" s="1151"/>
      <c r="FT307" s="1151"/>
      <c r="FU307" s="1151"/>
      <c r="FV307" s="1151"/>
      <c r="FW307" s="1151"/>
      <c r="FX307" s="1151"/>
      <c r="FY307" s="1488"/>
      <c r="FZ307" s="1488"/>
      <c r="GA307" s="1488"/>
      <c r="GB307" s="1485"/>
      <c r="GC307" s="1485"/>
      <c r="GD307" s="1485"/>
      <c r="GE307" s="1485"/>
      <c r="GF307" s="1485"/>
      <c r="GG307" s="1485"/>
      <c r="GH307" s="1485"/>
    </row>
    <row r="308" spans="144:190" s="1295" customFormat="1" x14ac:dyDescent="0.25">
      <c r="EN308" s="1485"/>
      <c r="EO308" s="1485"/>
      <c r="EP308" s="1485"/>
      <c r="EQ308" s="1485"/>
      <c r="ER308" s="1485"/>
      <c r="ES308" s="1485"/>
      <c r="ET308" s="1485"/>
      <c r="EU308" s="1485"/>
      <c r="EV308" s="1485"/>
      <c r="EW308" s="1485"/>
      <c r="EX308" s="1486"/>
      <c r="EY308" s="1486"/>
      <c r="EZ308" s="1487"/>
      <c r="FA308" s="1487"/>
      <c r="FB308" s="1151"/>
      <c r="FC308" s="1151"/>
      <c r="FD308" s="1293"/>
      <c r="FE308" s="1293"/>
      <c r="FF308" s="1293"/>
      <c r="FG308" s="1151"/>
      <c r="FH308" s="1151"/>
      <c r="FI308" s="1151"/>
      <c r="FJ308" s="1151"/>
      <c r="FK308" s="1151"/>
      <c r="FL308" s="1151"/>
      <c r="FM308" s="1151"/>
      <c r="FN308" s="1151"/>
      <c r="FO308" s="1151"/>
      <c r="FP308" s="1151"/>
      <c r="FQ308" s="1151"/>
      <c r="FR308" s="1151"/>
      <c r="FS308" s="1151"/>
      <c r="FT308" s="1151"/>
      <c r="FU308" s="1151"/>
      <c r="FV308" s="1151"/>
      <c r="FW308" s="1151"/>
      <c r="FX308" s="1151"/>
      <c r="FY308" s="1488"/>
      <c r="FZ308" s="1488"/>
      <c r="GA308" s="1488"/>
      <c r="GB308" s="1485"/>
      <c r="GC308" s="1485"/>
      <c r="GD308" s="1485"/>
      <c r="GE308" s="1485"/>
      <c r="GF308" s="1485"/>
      <c r="GG308" s="1485"/>
      <c r="GH308" s="1485"/>
    </row>
    <row r="309" spans="144:190" s="1295" customFormat="1" x14ac:dyDescent="0.25">
      <c r="EN309" s="1485"/>
      <c r="EO309" s="1485"/>
      <c r="EP309" s="1485"/>
      <c r="EQ309" s="1485"/>
      <c r="ER309" s="1485"/>
      <c r="ES309" s="1485"/>
      <c r="ET309" s="1485"/>
      <c r="EU309" s="1485"/>
      <c r="EV309" s="1485"/>
      <c r="EW309" s="1485"/>
      <c r="EX309" s="1486"/>
      <c r="EY309" s="1486"/>
      <c r="EZ309" s="1487"/>
      <c r="FA309" s="1487"/>
      <c r="FB309" s="1151"/>
      <c r="FC309" s="1151"/>
      <c r="FD309" s="1293"/>
      <c r="FE309" s="1293"/>
      <c r="FF309" s="1293"/>
      <c r="FG309" s="1151"/>
      <c r="FH309" s="1151"/>
      <c r="FI309" s="1151"/>
      <c r="FJ309" s="1151"/>
      <c r="FK309" s="1151"/>
      <c r="FL309" s="1151"/>
      <c r="FM309" s="1151"/>
      <c r="FN309" s="1151"/>
      <c r="FO309" s="1151"/>
      <c r="FP309" s="1151"/>
      <c r="FQ309" s="1151"/>
      <c r="FR309" s="1151"/>
      <c r="FS309" s="1151"/>
      <c r="FT309" s="1151"/>
      <c r="FU309" s="1151"/>
      <c r="FV309" s="1151"/>
      <c r="FW309" s="1151"/>
      <c r="FX309" s="1151"/>
      <c r="FY309" s="1488"/>
      <c r="FZ309" s="1488"/>
      <c r="GA309" s="1488"/>
      <c r="GB309" s="1485"/>
      <c r="GC309" s="1485"/>
      <c r="GD309" s="1485"/>
      <c r="GE309" s="1485"/>
      <c r="GF309" s="1485"/>
      <c r="GG309" s="1485"/>
      <c r="GH309" s="1485"/>
    </row>
    <row r="310" spans="144:190" s="1295" customFormat="1" x14ac:dyDescent="0.25">
      <c r="EN310" s="1485"/>
      <c r="EO310" s="1485"/>
      <c r="EP310" s="1485"/>
      <c r="EQ310" s="1485"/>
      <c r="ER310" s="1485"/>
      <c r="ES310" s="1485"/>
      <c r="ET310" s="1485"/>
      <c r="EU310" s="1485"/>
      <c r="EV310" s="1485"/>
      <c r="EW310" s="1485"/>
      <c r="EX310" s="1486"/>
      <c r="EY310" s="1486"/>
      <c r="EZ310" s="1487"/>
      <c r="FA310" s="1487"/>
      <c r="FB310" s="1151"/>
      <c r="FC310" s="1151"/>
      <c r="FD310" s="1293"/>
      <c r="FE310" s="1293"/>
      <c r="FF310" s="1293"/>
      <c r="FG310" s="1151"/>
      <c r="FH310" s="1151"/>
      <c r="FI310" s="1151"/>
      <c r="FJ310" s="1151"/>
      <c r="FK310" s="1151"/>
      <c r="FL310" s="1151"/>
      <c r="FM310" s="1151"/>
      <c r="FN310" s="1151"/>
      <c r="FO310" s="1151"/>
      <c r="FP310" s="1151"/>
      <c r="FQ310" s="1151"/>
      <c r="FR310" s="1151"/>
      <c r="FS310" s="1151"/>
      <c r="FT310" s="1151"/>
      <c r="FU310" s="1151"/>
      <c r="FV310" s="1151"/>
      <c r="FW310" s="1151"/>
      <c r="FX310" s="1151"/>
      <c r="FY310" s="1488"/>
      <c r="FZ310" s="1488"/>
      <c r="GA310" s="1488"/>
      <c r="GB310" s="1485"/>
      <c r="GC310" s="1485"/>
      <c r="GD310" s="1485"/>
      <c r="GE310" s="1485"/>
      <c r="GF310" s="1485"/>
      <c r="GG310" s="1485"/>
      <c r="GH310" s="1485"/>
    </row>
    <row r="311" spans="144:190" s="1295" customFormat="1" x14ac:dyDescent="0.25">
      <c r="EN311" s="1485"/>
      <c r="EO311" s="1485"/>
      <c r="EP311" s="1485"/>
      <c r="EQ311" s="1485"/>
      <c r="ER311" s="1485"/>
      <c r="ES311" s="1485"/>
      <c r="ET311" s="1485"/>
      <c r="EU311" s="1485"/>
      <c r="EV311" s="1485"/>
      <c r="EW311" s="1485"/>
      <c r="EX311" s="1486"/>
      <c r="EY311" s="1486"/>
      <c r="EZ311" s="1487"/>
      <c r="FA311" s="1487"/>
      <c r="FB311" s="1151"/>
      <c r="FC311" s="1151"/>
      <c r="FD311" s="1293"/>
      <c r="FE311" s="1293"/>
      <c r="FF311" s="1293"/>
      <c r="FG311" s="1151"/>
      <c r="FH311" s="1151"/>
      <c r="FI311" s="1151"/>
      <c r="FJ311" s="1151"/>
      <c r="FK311" s="1151"/>
      <c r="FL311" s="1151"/>
      <c r="FM311" s="1151"/>
      <c r="FN311" s="1151"/>
      <c r="FO311" s="1151"/>
      <c r="FP311" s="1151"/>
      <c r="FQ311" s="1151"/>
      <c r="FR311" s="1151"/>
      <c r="FS311" s="1151"/>
      <c r="FT311" s="1151"/>
      <c r="FU311" s="1151"/>
      <c r="FV311" s="1151"/>
      <c r="FW311" s="1151"/>
      <c r="FX311" s="1151"/>
      <c r="FY311" s="1488"/>
      <c r="FZ311" s="1488"/>
      <c r="GA311" s="1488"/>
      <c r="GB311" s="1485"/>
      <c r="GC311" s="1485"/>
      <c r="GD311" s="1485"/>
      <c r="GE311" s="1485"/>
      <c r="GF311" s="1485"/>
      <c r="GG311" s="1485"/>
      <c r="GH311" s="1485"/>
    </row>
    <row r="312" spans="144:190" s="1295" customFormat="1" x14ac:dyDescent="0.25">
      <c r="EN312" s="1485"/>
      <c r="EO312" s="1485"/>
      <c r="EP312" s="1485"/>
      <c r="EQ312" s="1485"/>
      <c r="ER312" s="1485"/>
      <c r="ES312" s="1485"/>
      <c r="ET312" s="1485"/>
      <c r="EU312" s="1485"/>
      <c r="EV312" s="1485"/>
      <c r="EW312" s="1485"/>
      <c r="EX312" s="1486"/>
      <c r="EY312" s="1486"/>
      <c r="EZ312" s="1487"/>
      <c r="FA312" s="1487"/>
      <c r="FB312" s="1151"/>
      <c r="FC312" s="1151"/>
      <c r="FD312" s="1293"/>
      <c r="FE312" s="1293"/>
      <c r="FF312" s="1293"/>
      <c r="FG312" s="1151"/>
      <c r="FH312" s="1151"/>
      <c r="FI312" s="1151"/>
      <c r="FJ312" s="1151"/>
      <c r="FK312" s="1151"/>
      <c r="FL312" s="1151"/>
      <c r="FM312" s="1151"/>
      <c r="FN312" s="1151"/>
      <c r="FO312" s="1151"/>
      <c r="FP312" s="1151"/>
      <c r="FQ312" s="1151"/>
      <c r="FR312" s="1151"/>
      <c r="FS312" s="1151"/>
      <c r="FT312" s="1151"/>
      <c r="FU312" s="1151"/>
      <c r="FV312" s="1151"/>
      <c r="FW312" s="1151"/>
      <c r="FX312" s="1151"/>
      <c r="FY312" s="1488"/>
      <c r="FZ312" s="1488"/>
      <c r="GA312" s="1488"/>
      <c r="GB312" s="1485"/>
      <c r="GC312" s="1485"/>
      <c r="GD312" s="1485"/>
      <c r="GE312" s="1485"/>
      <c r="GF312" s="1485"/>
      <c r="GG312" s="1485"/>
      <c r="GH312" s="1485"/>
    </row>
    <row r="313" spans="144:190" s="1295" customFormat="1" x14ac:dyDescent="0.25">
      <c r="EN313" s="1485"/>
      <c r="EO313" s="1485"/>
      <c r="EP313" s="1485"/>
      <c r="EQ313" s="1485"/>
      <c r="ER313" s="1485"/>
      <c r="ES313" s="1485"/>
      <c r="ET313" s="1485"/>
      <c r="EU313" s="1485"/>
      <c r="EV313" s="1485"/>
      <c r="EW313" s="1485"/>
      <c r="EX313" s="1486"/>
      <c r="EY313" s="1486"/>
      <c r="EZ313" s="1487"/>
      <c r="FA313" s="1487"/>
      <c r="FB313" s="1151"/>
      <c r="FC313" s="1151"/>
      <c r="FD313" s="1293"/>
      <c r="FE313" s="1293"/>
      <c r="FF313" s="1293"/>
      <c r="FG313" s="1151"/>
      <c r="FH313" s="1151"/>
      <c r="FI313" s="1151"/>
      <c r="FJ313" s="1151"/>
      <c r="FK313" s="1151"/>
      <c r="FL313" s="1151"/>
      <c r="FM313" s="1151"/>
      <c r="FN313" s="1151"/>
      <c r="FO313" s="1151"/>
      <c r="FP313" s="1151"/>
      <c r="FQ313" s="1151"/>
      <c r="FR313" s="1151"/>
      <c r="FS313" s="1151"/>
      <c r="FT313" s="1151"/>
      <c r="FU313" s="1151"/>
      <c r="FV313" s="1151"/>
      <c r="FW313" s="1151"/>
      <c r="FX313" s="1151"/>
      <c r="FY313" s="1488"/>
      <c r="FZ313" s="1488"/>
      <c r="GA313" s="1488"/>
      <c r="GB313" s="1485"/>
      <c r="GC313" s="1485"/>
      <c r="GD313" s="1485"/>
      <c r="GE313" s="1485"/>
      <c r="GF313" s="1485"/>
      <c r="GG313" s="1485"/>
      <c r="GH313" s="1485"/>
    </row>
    <row r="314" spans="144:190" s="1295" customFormat="1" x14ac:dyDescent="0.25">
      <c r="EN314" s="1485"/>
      <c r="EO314" s="1485"/>
      <c r="EP314" s="1485"/>
      <c r="EQ314" s="1485"/>
      <c r="ER314" s="1485"/>
      <c r="ES314" s="1485"/>
      <c r="ET314" s="1485"/>
      <c r="EU314" s="1485"/>
      <c r="EV314" s="1485"/>
      <c r="EW314" s="1485"/>
      <c r="EX314" s="1486"/>
      <c r="EY314" s="1486"/>
      <c r="EZ314" s="1487"/>
      <c r="FA314" s="1487"/>
      <c r="FB314" s="1151"/>
      <c r="FC314" s="1151"/>
      <c r="FD314" s="1151"/>
      <c r="FE314" s="1151"/>
      <c r="FF314" s="1151"/>
      <c r="FG314" s="1151"/>
      <c r="FH314" s="1151"/>
      <c r="FI314" s="1151"/>
      <c r="FJ314" s="1151"/>
      <c r="FK314" s="1151"/>
      <c r="FL314" s="1151"/>
      <c r="FM314" s="1151"/>
      <c r="FN314" s="1151"/>
      <c r="FO314" s="1151"/>
      <c r="FP314" s="1151"/>
      <c r="FQ314" s="1151"/>
      <c r="FR314" s="1151"/>
      <c r="FS314" s="1151"/>
      <c r="FT314" s="1151"/>
      <c r="FU314" s="1151"/>
      <c r="FV314" s="1151"/>
      <c r="FW314" s="1151"/>
      <c r="FX314" s="1151"/>
      <c r="FY314" s="1488"/>
      <c r="FZ314" s="1488"/>
      <c r="GA314" s="1488"/>
      <c r="GB314" s="1485"/>
      <c r="GC314" s="1485"/>
      <c r="GD314" s="1485"/>
      <c r="GE314" s="1485"/>
      <c r="GF314" s="1485"/>
      <c r="GG314" s="1485"/>
      <c r="GH314" s="1485"/>
    </row>
    <row r="315" spans="144:190" s="1295" customFormat="1" x14ac:dyDescent="0.25">
      <c r="EN315" s="1485"/>
      <c r="EO315" s="1485"/>
      <c r="EP315" s="1485"/>
      <c r="EQ315" s="1485"/>
      <c r="ER315" s="1485"/>
      <c r="ES315" s="1485"/>
      <c r="ET315" s="1485"/>
      <c r="EU315" s="1485"/>
      <c r="EV315" s="1485"/>
      <c r="EW315" s="1485"/>
      <c r="EX315" s="1486"/>
      <c r="EY315" s="1486"/>
      <c r="EZ315" s="1487"/>
      <c r="FA315" s="1487"/>
      <c r="FB315" s="1151"/>
      <c r="FC315" s="1151"/>
      <c r="FD315" s="1151"/>
      <c r="FE315" s="1151"/>
      <c r="FF315" s="1151"/>
      <c r="FG315" s="1151"/>
      <c r="FH315" s="1151"/>
      <c r="FI315" s="1151"/>
      <c r="FJ315" s="1151"/>
      <c r="FK315" s="1151"/>
      <c r="FL315" s="1151"/>
      <c r="FM315" s="1151"/>
      <c r="FN315" s="1151"/>
      <c r="FO315" s="1151"/>
      <c r="FP315" s="1151"/>
      <c r="FQ315" s="1151"/>
      <c r="FR315" s="1151"/>
      <c r="FS315" s="1151"/>
      <c r="FT315" s="1151"/>
      <c r="FU315" s="1151"/>
      <c r="FV315" s="1151"/>
      <c r="FW315" s="1151"/>
      <c r="FX315" s="1151"/>
      <c r="FY315" s="1488"/>
      <c r="FZ315" s="1488"/>
      <c r="GA315" s="1488"/>
      <c r="GB315" s="1485"/>
      <c r="GC315" s="1485"/>
      <c r="GD315" s="1485"/>
      <c r="GE315" s="1485"/>
      <c r="GF315" s="1485"/>
      <c r="GG315" s="1485"/>
      <c r="GH315" s="1485"/>
    </row>
    <row r="316" spans="144:190" s="1295" customFormat="1" x14ac:dyDescent="0.25">
      <c r="EN316" s="1485"/>
      <c r="EO316" s="1485"/>
      <c r="EP316" s="1485"/>
      <c r="EQ316" s="1485"/>
      <c r="ER316" s="1485"/>
      <c r="ES316" s="1485"/>
      <c r="ET316" s="1485"/>
      <c r="EU316" s="1485"/>
      <c r="EV316" s="1485"/>
      <c r="EW316" s="1485"/>
      <c r="EX316" s="1486"/>
      <c r="EY316" s="1486"/>
      <c r="EZ316" s="1487"/>
      <c r="FA316" s="1487"/>
      <c r="FB316" s="1151"/>
      <c r="FC316" s="1151"/>
      <c r="FD316" s="1151"/>
      <c r="FE316" s="1151"/>
      <c r="FF316" s="1151"/>
      <c r="FG316" s="1151"/>
      <c r="FH316" s="1151"/>
      <c r="FI316" s="1151"/>
      <c r="FJ316" s="1151"/>
      <c r="FK316" s="1151"/>
      <c r="FL316" s="1151"/>
      <c r="FM316" s="1151"/>
      <c r="FN316" s="1151"/>
      <c r="FO316" s="1151"/>
      <c r="FP316" s="1151"/>
      <c r="FQ316" s="1151"/>
      <c r="FR316" s="1151"/>
      <c r="FS316" s="1151"/>
      <c r="FT316" s="1151"/>
      <c r="FU316" s="1151"/>
      <c r="FV316" s="1151"/>
      <c r="FW316" s="1151"/>
      <c r="FX316" s="1151"/>
      <c r="FY316" s="1488"/>
      <c r="FZ316" s="1488"/>
      <c r="GA316" s="1488"/>
      <c r="GB316" s="1485"/>
      <c r="GC316" s="1485"/>
      <c r="GD316" s="1485"/>
      <c r="GE316" s="1485"/>
      <c r="GF316" s="1485"/>
      <c r="GG316" s="1485"/>
      <c r="GH316" s="1485"/>
    </row>
    <row r="317" spans="144:190" s="1295" customFormat="1" x14ac:dyDescent="0.25">
      <c r="EN317" s="1485"/>
      <c r="EO317" s="1485"/>
      <c r="EP317" s="1485"/>
      <c r="EQ317" s="1485"/>
      <c r="ER317" s="1485"/>
      <c r="ES317" s="1485"/>
      <c r="ET317" s="1485"/>
      <c r="EU317" s="1485"/>
      <c r="EV317" s="1485"/>
      <c r="EW317" s="1485"/>
      <c r="EX317" s="1486"/>
      <c r="EY317" s="1486"/>
      <c r="EZ317" s="1487"/>
      <c r="FA317" s="1487"/>
      <c r="FB317" s="1151"/>
      <c r="FC317" s="1151"/>
      <c r="FD317" s="1151"/>
      <c r="FE317" s="1151"/>
      <c r="FF317" s="1151"/>
      <c r="FG317" s="1151"/>
      <c r="FH317" s="1151"/>
      <c r="FI317" s="1151"/>
      <c r="FJ317" s="1151"/>
      <c r="FK317" s="1151"/>
      <c r="FL317" s="1151"/>
      <c r="FM317" s="1151"/>
      <c r="FN317" s="1151"/>
      <c r="FO317" s="1151"/>
      <c r="FP317" s="1151"/>
      <c r="FQ317" s="1151"/>
      <c r="FR317" s="1151"/>
      <c r="FS317" s="1151"/>
      <c r="FT317" s="1151"/>
      <c r="FU317" s="1151"/>
      <c r="FV317" s="1151"/>
      <c r="FW317" s="1151"/>
      <c r="FX317" s="1151"/>
      <c r="FY317" s="1488"/>
      <c r="FZ317" s="1488"/>
      <c r="GA317" s="1488"/>
      <c r="GB317" s="1485"/>
      <c r="GC317" s="1485"/>
      <c r="GD317" s="1485"/>
      <c r="GE317" s="1485"/>
      <c r="GF317" s="1485"/>
      <c r="GG317" s="1485"/>
      <c r="GH317" s="1485"/>
    </row>
    <row r="318" spans="144:190" s="1295" customFormat="1" x14ac:dyDescent="0.25">
      <c r="EN318" s="1485"/>
      <c r="EO318" s="1485"/>
      <c r="EP318" s="1485"/>
      <c r="EQ318" s="1485"/>
      <c r="ER318" s="1485"/>
      <c r="ES318" s="1485"/>
      <c r="ET318" s="1485"/>
      <c r="EU318" s="1485"/>
      <c r="EV318" s="1485"/>
      <c r="EW318" s="1485"/>
      <c r="EX318" s="1486"/>
      <c r="EY318" s="1486"/>
      <c r="EZ318" s="1487"/>
      <c r="FA318" s="1487"/>
      <c r="FB318" s="1151"/>
      <c r="FC318" s="1151"/>
      <c r="FD318" s="1151"/>
      <c r="FE318" s="1151"/>
      <c r="FF318" s="1151"/>
      <c r="FG318" s="1151"/>
      <c r="FH318" s="1151"/>
      <c r="FI318" s="1151"/>
      <c r="FJ318" s="1151"/>
      <c r="FK318" s="1151"/>
      <c r="FL318" s="1151"/>
      <c r="FM318" s="1151"/>
      <c r="FN318" s="1151"/>
      <c r="FO318" s="1151"/>
      <c r="FP318" s="1151"/>
      <c r="FQ318" s="1151"/>
      <c r="FR318" s="1151"/>
      <c r="FS318" s="1151"/>
      <c r="FT318" s="1151"/>
      <c r="FU318" s="1151"/>
      <c r="FV318" s="1151"/>
      <c r="FW318" s="1151"/>
      <c r="FX318" s="1151"/>
      <c r="FY318" s="1488"/>
      <c r="FZ318" s="1488"/>
      <c r="GA318" s="1488"/>
      <c r="GB318" s="1485"/>
      <c r="GC318" s="1485"/>
      <c r="GD318" s="1485"/>
      <c r="GE318" s="1485"/>
      <c r="GF318" s="1485"/>
      <c r="GG318" s="1485"/>
      <c r="GH318" s="1485"/>
    </row>
    <row r="319" spans="144:190" s="1295" customFormat="1" x14ac:dyDescent="0.25">
      <c r="EN319" s="1485"/>
      <c r="EO319" s="1485"/>
      <c r="EP319" s="1485"/>
      <c r="EQ319" s="1485"/>
      <c r="ER319" s="1485"/>
      <c r="ES319" s="1485"/>
      <c r="ET319" s="1485"/>
      <c r="EU319" s="1485"/>
      <c r="EV319" s="1485"/>
      <c r="EW319" s="1485"/>
      <c r="EX319" s="1486"/>
      <c r="EY319" s="1486"/>
      <c r="EZ319" s="1487"/>
      <c r="FA319" s="1487"/>
      <c r="FB319" s="1151"/>
      <c r="FC319" s="1151"/>
      <c r="FD319" s="1151"/>
      <c r="FE319" s="1151"/>
      <c r="FF319" s="1151"/>
      <c r="FG319" s="1151"/>
      <c r="FH319" s="1151"/>
      <c r="FI319" s="1151"/>
      <c r="FJ319" s="1151"/>
      <c r="FK319" s="1151"/>
      <c r="FL319" s="1151"/>
      <c r="FM319" s="1151"/>
      <c r="FN319" s="1151"/>
      <c r="FO319" s="1151"/>
      <c r="FP319" s="1151"/>
      <c r="FQ319" s="1151"/>
      <c r="FR319" s="1151"/>
      <c r="FS319" s="1151"/>
      <c r="FT319" s="1151"/>
      <c r="FU319" s="1151"/>
      <c r="FV319" s="1151"/>
      <c r="FW319" s="1151"/>
      <c r="FX319" s="1151"/>
      <c r="FY319" s="1488"/>
      <c r="FZ319" s="1488"/>
      <c r="GA319" s="1488"/>
      <c r="GB319" s="1485"/>
      <c r="GC319" s="1485"/>
      <c r="GD319" s="1485"/>
      <c r="GE319" s="1485"/>
      <c r="GF319" s="1485"/>
      <c r="GG319" s="1485"/>
      <c r="GH319" s="1485"/>
    </row>
    <row r="320" spans="144:190" s="1295" customFormat="1" x14ac:dyDescent="0.25">
      <c r="EN320" s="1485"/>
      <c r="EO320" s="1485"/>
      <c r="EP320" s="1485"/>
      <c r="EQ320" s="1485"/>
      <c r="ER320" s="1485"/>
      <c r="ES320" s="1485"/>
      <c r="ET320" s="1485"/>
      <c r="EU320" s="1485"/>
      <c r="EV320" s="1485"/>
      <c r="EW320" s="1485"/>
      <c r="EX320" s="1486"/>
      <c r="EY320" s="1486"/>
      <c r="EZ320" s="1487"/>
      <c r="FA320" s="1487"/>
      <c r="FB320" s="1151"/>
      <c r="FC320" s="1151"/>
      <c r="FD320" s="1151"/>
      <c r="FE320" s="1151"/>
      <c r="FF320" s="1151"/>
      <c r="FG320" s="1151"/>
      <c r="FH320" s="1151"/>
      <c r="FI320" s="1151"/>
      <c r="FJ320" s="1151"/>
      <c r="FK320" s="1151"/>
      <c r="FL320" s="1151"/>
      <c r="FM320" s="1151"/>
      <c r="FN320" s="1151"/>
      <c r="FO320" s="1151"/>
      <c r="FP320" s="1151"/>
      <c r="FQ320" s="1151"/>
      <c r="FR320" s="1151"/>
      <c r="FS320" s="1151"/>
      <c r="FT320" s="1151"/>
      <c r="FU320" s="1151"/>
      <c r="FV320" s="1151"/>
      <c r="FW320" s="1151"/>
      <c r="FX320" s="1151"/>
      <c r="FY320" s="1488"/>
      <c r="FZ320" s="1488"/>
      <c r="GA320" s="1488"/>
      <c r="GB320" s="1485"/>
      <c r="GC320" s="1485"/>
      <c r="GD320" s="1485"/>
      <c r="GE320" s="1485"/>
      <c r="GF320" s="1485"/>
      <c r="GG320" s="1485"/>
      <c r="GH320" s="1485"/>
    </row>
    <row r="321" spans="144:190" s="1295" customFormat="1" x14ac:dyDescent="0.25">
      <c r="EN321" s="1485"/>
      <c r="EO321" s="1485"/>
      <c r="EP321" s="1485"/>
      <c r="EQ321" s="1485"/>
      <c r="ER321" s="1485"/>
      <c r="ES321" s="1485"/>
      <c r="ET321" s="1485"/>
      <c r="EU321" s="1485"/>
      <c r="EV321" s="1485"/>
      <c r="EW321" s="1485"/>
      <c r="EX321" s="1486"/>
      <c r="EY321" s="1486"/>
      <c r="EZ321" s="1487"/>
      <c r="FA321" s="1487"/>
      <c r="FB321" s="1151"/>
      <c r="FC321" s="1151"/>
      <c r="FD321" s="1151"/>
      <c r="FE321" s="1151"/>
      <c r="FF321" s="1151"/>
      <c r="FG321" s="1151"/>
      <c r="FH321" s="1151"/>
      <c r="FI321" s="1151"/>
      <c r="FJ321" s="1151"/>
      <c r="FK321" s="1151"/>
      <c r="FL321" s="1151"/>
      <c r="FM321" s="1151"/>
      <c r="FN321" s="1151"/>
      <c r="FO321" s="1151"/>
      <c r="FP321" s="1151"/>
      <c r="FQ321" s="1151"/>
      <c r="FR321" s="1151"/>
      <c r="FS321" s="1151"/>
      <c r="FT321" s="1151"/>
      <c r="FU321" s="1151"/>
      <c r="FV321" s="1151"/>
      <c r="FW321" s="1151"/>
      <c r="FX321" s="1151"/>
      <c r="FY321" s="1488"/>
      <c r="FZ321" s="1488"/>
      <c r="GA321" s="1488"/>
      <c r="GB321" s="1485"/>
      <c r="GC321" s="1485"/>
      <c r="GD321" s="1485"/>
      <c r="GE321" s="1485"/>
      <c r="GF321" s="1485"/>
      <c r="GG321" s="1485"/>
      <c r="GH321" s="1485"/>
    </row>
    <row r="322" spans="144:190" s="1295" customFormat="1" x14ac:dyDescent="0.25">
      <c r="EN322" s="1485"/>
      <c r="EO322" s="1485"/>
      <c r="EP322" s="1485"/>
      <c r="EQ322" s="1485"/>
      <c r="ER322" s="1485"/>
      <c r="ES322" s="1485"/>
      <c r="ET322" s="1485"/>
      <c r="EU322" s="1485"/>
      <c r="EV322" s="1485"/>
      <c r="EW322" s="1485"/>
      <c r="EX322" s="1486"/>
      <c r="EY322" s="1486"/>
      <c r="EZ322" s="1487"/>
      <c r="FA322" s="1487"/>
      <c r="FB322" s="1151"/>
      <c r="FC322" s="1151"/>
      <c r="FD322" s="1151"/>
      <c r="FE322" s="1151"/>
      <c r="FF322" s="1151"/>
      <c r="FG322" s="1151"/>
      <c r="FH322" s="1151"/>
      <c r="FI322" s="1151"/>
      <c r="FJ322" s="1151"/>
      <c r="FK322" s="1151"/>
      <c r="FL322" s="1151"/>
      <c r="FM322" s="1151"/>
      <c r="FN322" s="1151"/>
      <c r="FO322" s="1151"/>
      <c r="FP322" s="1151"/>
      <c r="FQ322" s="1151"/>
      <c r="FR322" s="1151"/>
      <c r="FS322" s="1151"/>
      <c r="FT322" s="1151"/>
      <c r="FU322" s="1151"/>
      <c r="FV322" s="1151"/>
      <c r="FW322" s="1151"/>
      <c r="FX322" s="1151"/>
      <c r="FY322" s="1488"/>
      <c r="FZ322" s="1488"/>
      <c r="GA322" s="1488"/>
      <c r="GB322" s="1485"/>
      <c r="GC322" s="1485"/>
      <c r="GD322" s="1485"/>
      <c r="GE322" s="1485"/>
      <c r="GF322" s="1485"/>
      <c r="GG322" s="1485"/>
      <c r="GH322" s="1485"/>
    </row>
    <row r="323" spans="144:190" s="1295" customFormat="1" x14ac:dyDescent="0.25">
      <c r="EN323" s="1485"/>
      <c r="EO323" s="1485"/>
      <c r="EP323" s="1485"/>
      <c r="EQ323" s="1485"/>
      <c r="ER323" s="1485"/>
      <c r="ES323" s="1485"/>
      <c r="ET323" s="1485"/>
      <c r="EU323" s="1485"/>
      <c r="EV323" s="1485"/>
      <c r="EW323" s="1485"/>
      <c r="EX323" s="1486"/>
      <c r="EY323" s="1486"/>
      <c r="EZ323" s="1487"/>
      <c r="FA323" s="1487"/>
      <c r="FB323" s="1151"/>
      <c r="FC323" s="1151"/>
      <c r="FD323" s="1151"/>
      <c r="FE323" s="1151"/>
      <c r="FF323" s="1151"/>
      <c r="FG323" s="1151"/>
      <c r="FH323" s="1151"/>
      <c r="FI323" s="1151"/>
      <c r="FJ323" s="1151"/>
      <c r="FK323" s="1151"/>
      <c r="FL323" s="1151"/>
      <c r="FM323" s="1151"/>
      <c r="FN323" s="1151"/>
      <c r="FO323" s="1151"/>
      <c r="FP323" s="1151"/>
      <c r="FQ323" s="1151"/>
      <c r="FR323" s="1151"/>
      <c r="FS323" s="1151"/>
      <c r="FT323" s="1151"/>
      <c r="FU323" s="1151"/>
      <c r="FV323" s="1151"/>
      <c r="FW323" s="1151"/>
      <c r="FX323" s="1151"/>
      <c r="FY323" s="1488"/>
      <c r="FZ323" s="1488"/>
      <c r="GA323" s="1488"/>
      <c r="GB323" s="1485"/>
      <c r="GC323" s="1485"/>
      <c r="GD323" s="1485"/>
      <c r="GE323" s="1485"/>
      <c r="GF323" s="1485"/>
      <c r="GG323" s="1485"/>
      <c r="GH323" s="1485"/>
    </row>
    <row r="324" spans="144:190" s="1295" customFormat="1" x14ac:dyDescent="0.25">
      <c r="EN324" s="1485"/>
      <c r="EO324" s="1485"/>
      <c r="EP324" s="1485"/>
      <c r="EQ324" s="1485"/>
      <c r="ER324" s="1485"/>
      <c r="ES324" s="1485"/>
      <c r="ET324" s="1485"/>
      <c r="EU324" s="1485"/>
      <c r="EV324" s="1485"/>
      <c r="EW324" s="1485"/>
      <c r="EX324" s="1486"/>
      <c r="EY324" s="1486"/>
      <c r="EZ324" s="1487"/>
      <c r="FA324" s="1487"/>
      <c r="FB324" s="1151"/>
      <c r="FC324" s="1151"/>
      <c r="FD324" s="1151"/>
      <c r="FE324" s="1151"/>
      <c r="FF324" s="1151"/>
      <c r="FG324" s="1151"/>
      <c r="FH324" s="1151"/>
      <c r="FI324" s="1151"/>
      <c r="FJ324" s="1151"/>
      <c r="FK324" s="1151"/>
      <c r="FL324" s="1151"/>
      <c r="FM324" s="1151"/>
      <c r="FN324" s="1151"/>
      <c r="FO324" s="1151"/>
      <c r="FP324" s="1151"/>
      <c r="FQ324" s="1151"/>
      <c r="FR324" s="1151"/>
      <c r="FS324" s="1151"/>
      <c r="FT324" s="1151"/>
      <c r="FU324" s="1151"/>
      <c r="FV324" s="1151"/>
      <c r="FW324" s="1151"/>
      <c r="FX324" s="1151"/>
      <c r="FY324" s="1488"/>
      <c r="FZ324" s="1488"/>
      <c r="GA324" s="1488"/>
      <c r="GB324" s="1485"/>
      <c r="GC324" s="1485"/>
      <c r="GD324" s="1485"/>
      <c r="GE324" s="1485"/>
      <c r="GF324" s="1485"/>
      <c r="GG324" s="1485"/>
      <c r="GH324" s="1485"/>
    </row>
    <row r="325" spans="144:190" s="1295" customFormat="1" x14ac:dyDescent="0.25">
      <c r="EN325" s="1485"/>
      <c r="EO325" s="1485"/>
      <c r="EP325" s="1485"/>
      <c r="EQ325" s="1485"/>
      <c r="ER325" s="1485"/>
      <c r="ES325" s="1485"/>
      <c r="ET325" s="1485"/>
      <c r="EU325" s="1485"/>
      <c r="EV325" s="1485"/>
      <c r="EW325" s="1485"/>
      <c r="EX325" s="1486"/>
      <c r="EY325" s="1486"/>
      <c r="EZ325" s="1487"/>
      <c r="FA325" s="1487"/>
      <c r="FB325" s="1151"/>
      <c r="FC325" s="1151"/>
      <c r="FD325" s="1151"/>
      <c r="FE325" s="1151"/>
      <c r="FF325" s="1151"/>
      <c r="FG325" s="1151"/>
      <c r="FH325" s="1151"/>
      <c r="FI325" s="1151"/>
      <c r="FJ325" s="1151"/>
      <c r="FK325" s="1151"/>
      <c r="FL325" s="1151"/>
      <c r="FM325" s="1151"/>
      <c r="FN325" s="1151"/>
      <c r="FO325" s="1151"/>
      <c r="FP325" s="1151"/>
      <c r="FQ325" s="1151"/>
      <c r="FR325" s="1151"/>
      <c r="FS325" s="1151"/>
      <c r="FT325" s="1151"/>
      <c r="FU325" s="1151"/>
      <c r="FV325" s="1151"/>
      <c r="FW325" s="1151"/>
      <c r="FX325" s="1151"/>
      <c r="FY325" s="1488"/>
      <c r="FZ325" s="1488"/>
      <c r="GA325" s="1488"/>
      <c r="GB325" s="1485"/>
      <c r="GC325" s="1485"/>
      <c r="GD325" s="1485"/>
      <c r="GE325" s="1485"/>
      <c r="GF325" s="1485"/>
      <c r="GG325" s="1485"/>
      <c r="GH325" s="1485"/>
    </row>
    <row r="326" spans="144:190" s="1295" customFormat="1" x14ac:dyDescent="0.25">
      <c r="EN326" s="1485"/>
      <c r="EO326" s="1485"/>
      <c r="EP326" s="1485"/>
      <c r="EQ326" s="1485"/>
      <c r="ER326" s="1485"/>
      <c r="ES326" s="1485"/>
      <c r="ET326" s="1485"/>
      <c r="EU326" s="1485"/>
      <c r="EV326" s="1485"/>
      <c r="EW326" s="1485"/>
      <c r="EX326" s="1486"/>
      <c r="EY326" s="1486"/>
      <c r="EZ326" s="1487"/>
      <c r="FA326" s="1487"/>
      <c r="FB326" s="1151"/>
      <c r="FC326" s="1151"/>
      <c r="FD326" s="1151"/>
      <c r="FE326" s="1151"/>
      <c r="FF326" s="1151"/>
      <c r="FG326" s="1151"/>
      <c r="FH326" s="1151"/>
      <c r="FI326" s="1151"/>
      <c r="FJ326" s="1151"/>
      <c r="FK326" s="1151"/>
      <c r="FL326" s="1151"/>
      <c r="FM326" s="1151"/>
      <c r="FN326" s="1151"/>
      <c r="FO326" s="1151"/>
      <c r="FP326" s="1151"/>
      <c r="FQ326" s="1151"/>
      <c r="FR326" s="1151"/>
      <c r="FS326" s="1151"/>
      <c r="FT326" s="1151"/>
      <c r="FU326" s="1151"/>
      <c r="FV326" s="1151"/>
      <c r="FW326" s="1151"/>
      <c r="FX326" s="1151"/>
      <c r="FY326" s="1488"/>
      <c r="FZ326" s="1488"/>
      <c r="GA326" s="1488"/>
      <c r="GB326" s="1485"/>
      <c r="GC326" s="1485"/>
      <c r="GD326" s="1485"/>
      <c r="GE326" s="1485"/>
      <c r="GF326" s="1485"/>
      <c r="GG326" s="1485"/>
      <c r="GH326" s="1485"/>
    </row>
    <row r="327" spans="144:190" s="1295" customFormat="1" x14ac:dyDescent="0.25">
      <c r="EN327" s="1485"/>
      <c r="EO327" s="1485"/>
      <c r="EP327" s="1485"/>
      <c r="EQ327" s="1485"/>
      <c r="ER327" s="1485"/>
      <c r="ES327" s="1485"/>
      <c r="ET327" s="1485"/>
      <c r="EU327" s="1485"/>
      <c r="EV327" s="1485"/>
      <c r="EW327" s="1485"/>
      <c r="EX327" s="1486"/>
      <c r="EY327" s="1486"/>
      <c r="EZ327" s="1487"/>
      <c r="FA327" s="1487"/>
      <c r="FB327" s="1151"/>
      <c r="FC327" s="1151"/>
      <c r="FD327" s="1151"/>
      <c r="FE327" s="1151"/>
      <c r="FF327" s="1151"/>
      <c r="FG327" s="1151"/>
      <c r="FH327" s="1151"/>
      <c r="FI327" s="1151"/>
      <c r="FJ327" s="1151"/>
      <c r="FK327" s="1151"/>
      <c r="FL327" s="1151"/>
      <c r="FM327" s="1151"/>
      <c r="FN327" s="1151"/>
      <c r="FO327" s="1151"/>
      <c r="FP327" s="1151"/>
      <c r="FQ327" s="1151"/>
      <c r="FR327" s="1151"/>
      <c r="FS327" s="1151"/>
      <c r="FT327" s="1151"/>
      <c r="FU327" s="1151"/>
      <c r="FV327" s="1151"/>
      <c r="FW327" s="1151"/>
      <c r="FX327" s="1151"/>
      <c r="FY327" s="1488"/>
      <c r="FZ327" s="1488"/>
      <c r="GA327" s="1488"/>
      <c r="GB327" s="1485"/>
      <c r="GC327" s="1485"/>
      <c r="GD327" s="1485"/>
      <c r="GE327" s="1485"/>
      <c r="GF327" s="1485"/>
      <c r="GG327" s="1485"/>
      <c r="GH327" s="1485"/>
    </row>
    <row r="328" spans="144:190" s="1295" customFormat="1" x14ac:dyDescent="0.25">
      <c r="EN328" s="1485"/>
      <c r="EO328" s="1485"/>
      <c r="EP328" s="1485"/>
      <c r="EQ328" s="1485"/>
      <c r="ER328" s="1485"/>
      <c r="ES328" s="1485"/>
      <c r="ET328" s="1485"/>
      <c r="EU328" s="1485"/>
      <c r="EV328" s="1485"/>
      <c r="EW328" s="1485"/>
      <c r="EX328" s="1486"/>
      <c r="EY328" s="1486"/>
      <c r="EZ328" s="1487"/>
      <c r="FA328" s="1487"/>
      <c r="FB328" s="1151"/>
      <c r="FC328" s="1151"/>
      <c r="FD328" s="1151"/>
      <c r="FE328" s="1151"/>
      <c r="FF328" s="1151"/>
      <c r="FG328" s="1151"/>
      <c r="FH328" s="1151"/>
      <c r="FI328" s="1151"/>
      <c r="FJ328" s="1151"/>
      <c r="FK328" s="1151"/>
      <c r="FL328" s="1151"/>
      <c r="FM328" s="1151"/>
      <c r="FN328" s="1151"/>
      <c r="FO328" s="1151"/>
      <c r="FP328" s="1151"/>
      <c r="FQ328" s="1151"/>
      <c r="FR328" s="1151"/>
      <c r="FS328" s="1151"/>
      <c r="FT328" s="1151"/>
      <c r="FU328" s="1151"/>
      <c r="FV328" s="1151"/>
      <c r="FW328" s="1151"/>
      <c r="FX328" s="1151"/>
      <c r="FY328" s="1488"/>
      <c r="FZ328" s="1488"/>
      <c r="GA328" s="1488"/>
      <c r="GB328" s="1485"/>
      <c r="GC328" s="1485"/>
      <c r="GD328" s="1485"/>
      <c r="GE328" s="1485"/>
      <c r="GF328" s="1485"/>
      <c r="GG328" s="1485"/>
      <c r="GH328" s="1485"/>
    </row>
    <row r="329" spans="144:190" s="1295" customFormat="1" x14ac:dyDescent="0.25">
      <c r="EN329" s="1485"/>
      <c r="EO329" s="1485"/>
      <c r="EP329" s="1485"/>
      <c r="EQ329" s="1485"/>
      <c r="ER329" s="1485"/>
      <c r="ES329" s="1485"/>
      <c r="ET329" s="1485"/>
      <c r="EU329" s="1485"/>
      <c r="EV329" s="1485"/>
      <c r="EW329" s="1485"/>
      <c r="EX329" s="1486"/>
      <c r="EY329" s="1486"/>
      <c r="EZ329" s="1487"/>
      <c r="FA329" s="1487"/>
      <c r="FB329" s="1151"/>
      <c r="FC329" s="1151"/>
      <c r="FD329" s="1151"/>
      <c r="FE329" s="1151"/>
      <c r="FF329" s="1151"/>
      <c r="FG329" s="1151"/>
      <c r="FH329" s="1151"/>
      <c r="FI329" s="1151"/>
      <c r="FJ329" s="1151"/>
      <c r="FK329" s="1151"/>
      <c r="FL329" s="1151"/>
      <c r="FM329" s="1151"/>
      <c r="FN329" s="1151"/>
      <c r="FO329" s="1151"/>
      <c r="FP329" s="1151"/>
      <c r="FQ329" s="1151"/>
      <c r="FR329" s="1151"/>
      <c r="FS329" s="1151"/>
      <c r="FT329" s="1151"/>
      <c r="FU329" s="1151"/>
      <c r="FV329" s="1151"/>
      <c r="FW329" s="1151"/>
      <c r="FX329" s="1151"/>
      <c r="FY329" s="1488"/>
      <c r="FZ329" s="1488"/>
      <c r="GA329" s="1488"/>
      <c r="GB329" s="1485"/>
      <c r="GC329" s="1485"/>
      <c r="GD329" s="1485"/>
      <c r="GE329" s="1485"/>
      <c r="GF329" s="1485"/>
      <c r="GG329" s="1485"/>
      <c r="GH329" s="1485"/>
    </row>
    <row r="330" spans="144:190" s="1295" customFormat="1" x14ac:dyDescent="0.25">
      <c r="EN330" s="1485"/>
      <c r="EO330" s="1485"/>
      <c r="EP330" s="1485"/>
      <c r="EQ330" s="1485"/>
      <c r="ER330" s="1485"/>
      <c r="ES330" s="1485"/>
      <c r="ET330" s="1485"/>
      <c r="EU330" s="1485"/>
      <c r="EV330" s="1485"/>
      <c r="EW330" s="1485"/>
      <c r="EX330" s="1486"/>
      <c r="EY330" s="1486"/>
      <c r="EZ330" s="1487"/>
      <c r="FA330" s="1487"/>
      <c r="FB330" s="1151"/>
      <c r="FC330" s="1151"/>
      <c r="FD330" s="1151"/>
      <c r="FE330" s="1151"/>
      <c r="FF330" s="1151"/>
      <c r="FG330" s="1151"/>
      <c r="FH330" s="1151"/>
      <c r="FI330" s="1151"/>
      <c r="FJ330" s="1151"/>
      <c r="FK330" s="1151"/>
      <c r="FL330" s="1151"/>
      <c r="FM330" s="1151"/>
      <c r="FN330" s="1151"/>
      <c r="FO330" s="1151"/>
      <c r="FP330" s="1151"/>
      <c r="FQ330" s="1151"/>
      <c r="FR330" s="1151"/>
      <c r="FS330" s="1151"/>
      <c r="FT330" s="1151"/>
      <c r="FU330" s="1151"/>
      <c r="FV330" s="1151"/>
      <c r="FW330" s="1151"/>
      <c r="FX330" s="1151"/>
      <c r="FY330" s="1488"/>
      <c r="FZ330" s="1488"/>
      <c r="GA330" s="1488"/>
      <c r="GB330" s="1485"/>
      <c r="GC330" s="1485"/>
      <c r="GD330" s="1485"/>
      <c r="GE330" s="1485"/>
      <c r="GF330" s="1485"/>
      <c r="GG330" s="1485"/>
      <c r="GH330" s="1485"/>
    </row>
    <row r="331" spans="144:190" s="1295" customFormat="1" x14ac:dyDescent="0.25">
      <c r="EN331" s="1485"/>
      <c r="EO331" s="1485"/>
      <c r="EP331" s="1485"/>
      <c r="EQ331" s="1485"/>
      <c r="ER331" s="1485"/>
      <c r="ES331" s="1485"/>
      <c r="ET331" s="1485"/>
      <c r="EU331" s="1485"/>
      <c r="EV331" s="1485"/>
      <c r="EW331" s="1485"/>
      <c r="EX331" s="1486"/>
      <c r="EY331" s="1486"/>
      <c r="EZ331" s="1487"/>
      <c r="FA331" s="1487"/>
      <c r="FB331" s="1151"/>
      <c r="FC331" s="1151"/>
      <c r="FD331" s="1151"/>
      <c r="FE331" s="1151"/>
      <c r="FF331" s="1151"/>
      <c r="FG331" s="1151"/>
      <c r="FH331" s="1151"/>
      <c r="FI331" s="1151"/>
      <c r="FJ331" s="1151"/>
      <c r="FK331" s="1151"/>
      <c r="FL331" s="1151"/>
      <c r="FM331" s="1151"/>
      <c r="FN331" s="1151"/>
      <c r="FO331" s="1151"/>
      <c r="FP331" s="1151"/>
      <c r="FQ331" s="1151"/>
      <c r="FR331" s="1151"/>
      <c r="FS331" s="1151"/>
      <c r="FT331" s="1151"/>
      <c r="FU331" s="1151"/>
      <c r="FV331" s="1151"/>
      <c r="FW331" s="1151"/>
      <c r="FX331" s="1151"/>
      <c r="FY331" s="1488"/>
      <c r="FZ331" s="1488"/>
      <c r="GA331" s="1488"/>
      <c r="GB331" s="1485"/>
      <c r="GC331" s="1485"/>
      <c r="GD331" s="1485"/>
      <c r="GE331" s="1485"/>
      <c r="GF331" s="1485"/>
      <c r="GG331" s="1485"/>
      <c r="GH331" s="1485"/>
    </row>
    <row r="332" spans="144:190" s="1295" customFormat="1" x14ac:dyDescent="0.25">
      <c r="EN332" s="1485"/>
      <c r="EO332" s="1485"/>
      <c r="EP332" s="1485"/>
      <c r="EQ332" s="1485"/>
      <c r="ER332" s="1485"/>
      <c r="ES332" s="1485"/>
      <c r="ET332" s="1485"/>
      <c r="EU332" s="1485"/>
      <c r="EV332" s="1485"/>
      <c r="EW332" s="1485"/>
      <c r="EX332" s="1486"/>
      <c r="EY332" s="1486"/>
      <c r="EZ332" s="1487"/>
      <c r="FA332" s="1487"/>
      <c r="FB332" s="1151"/>
      <c r="FC332" s="1151"/>
      <c r="FD332" s="1151"/>
      <c r="FE332" s="1151"/>
      <c r="FF332" s="1151"/>
      <c r="FG332" s="1151"/>
      <c r="FH332" s="1151"/>
      <c r="FI332" s="1151"/>
      <c r="FJ332" s="1151"/>
      <c r="FK332" s="1151"/>
      <c r="FL332" s="1151"/>
      <c r="FM332" s="1151"/>
      <c r="FN332" s="1151"/>
      <c r="FO332" s="1151"/>
      <c r="FP332" s="1151"/>
      <c r="FQ332" s="1151"/>
      <c r="FR332" s="1151"/>
      <c r="FS332" s="1151"/>
      <c r="FT332" s="1151"/>
      <c r="FU332" s="1151"/>
      <c r="FV332" s="1151"/>
      <c r="FW332" s="1151"/>
      <c r="FX332" s="1151"/>
      <c r="FY332" s="1488"/>
      <c r="FZ332" s="1488"/>
      <c r="GA332" s="1488"/>
      <c r="GB332" s="1485"/>
      <c r="GC332" s="1485"/>
      <c r="GD332" s="1485"/>
      <c r="GE332" s="1485"/>
      <c r="GF332" s="1485"/>
      <c r="GG332" s="1485"/>
      <c r="GH332" s="1485"/>
    </row>
    <row r="333" spans="144:190" s="1295" customFormat="1" x14ac:dyDescent="0.25">
      <c r="EN333" s="1485"/>
      <c r="EO333" s="1485"/>
      <c r="EP333" s="1485"/>
      <c r="EQ333" s="1485"/>
      <c r="ER333" s="1485"/>
      <c r="ES333" s="1485"/>
      <c r="ET333" s="1485"/>
      <c r="EU333" s="1485"/>
      <c r="EV333" s="1485"/>
      <c r="EW333" s="1485"/>
      <c r="EX333" s="1486"/>
      <c r="EY333" s="1486"/>
      <c r="EZ333" s="1487"/>
      <c r="FA333" s="1487"/>
      <c r="FB333" s="1151"/>
      <c r="FC333" s="1151"/>
      <c r="FD333" s="1151"/>
      <c r="FE333" s="1151"/>
      <c r="FF333" s="1151"/>
      <c r="FG333" s="1151"/>
      <c r="FH333" s="1151"/>
      <c r="FI333" s="1151"/>
      <c r="FJ333" s="1151"/>
      <c r="FK333" s="1151"/>
      <c r="FL333" s="1151"/>
      <c r="FM333" s="1151"/>
      <c r="FN333" s="1151"/>
      <c r="FO333" s="1151"/>
      <c r="FP333" s="1151"/>
      <c r="FQ333" s="1151"/>
      <c r="FR333" s="1151"/>
      <c r="FS333" s="1151"/>
      <c r="FT333" s="1151"/>
      <c r="FU333" s="1151"/>
      <c r="FV333" s="1151"/>
      <c r="FW333" s="1151"/>
      <c r="FX333" s="1151"/>
      <c r="FY333" s="1488"/>
      <c r="FZ333" s="1488"/>
      <c r="GA333" s="1488"/>
      <c r="GB333" s="1485"/>
      <c r="GC333" s="1485"/>
      <c r="GD333" s="1485"/>
      <c r="GE333" s="1485"/>
      <c r="GF333" s="1485"/>
      <c r="GG333" s="1485"/>
      <c r="GH333" s="1485"/>
    </row>
    <row r="334" spans="144:190" s="1295" customFormat="1" x14ac:dyDescent="0.25">
      <c r="EN334" s="1485"/>
      <c r="EO334" s="1485"/>
      <c r="EP334" s="1485"/>
      <c r="EQ334" s="1485"/>
      <c r="ER334" s="1485"/>
      <c r="ES334" s="1485"/>
      <c r="ET334" s="1485"/>
      <c r="EU334" s="1485"/>
      <c r="EV334" s="1485"/>
      <c r="EW334" s="1485"/>
      <c r="EX334" s="1486"/>
      <c r="EY334" s="1486"/>
      <c r="EZ334" s="1487"/>
      <c r="FA334" s="1487"/>
      <c r="FB334" s="1151"/>
      <c r="FC334" s="1151"/>
      <c r="FD334" s="1151"/>
      <c r="FE334" s="1151"/>
      <c r="FF334" s="1151"/>
      <c r="FG334" s="1151"/>
      <c r="FH334" s="1151"/>
      <c r="FI334" s="1151"/>
      <c r="FJ334" s="1151"/>
      <c r="FK334" s="1151"/>
      <c r="FL334" s="1151"/>
      <c r="FM334" s="1151"/>
      <c r="FN334" s="1151"/>
      <c r="FO334" s="1151"/>
      <c r="FP334" s="1151"/>
      <c r="FQ334" s="1151"/>
      <c r="FR334" s="1151"/>
      <c r="FS334" s="1151"/>
      <c r="FT334" s="1151"/>
      <c r="FU334" s="1151"/>
      <c r="FV334" s="1151"/>
      <c r="FW334" s="1151"/>
      <c r="FX334" s="1151"/>
      <c r="FY334" s="1488"/>
      <c r="FZ334" s="1488"/>
      <c r="GA334" s="1488"/>
      <c r="GB334" s="1485"/>
      <c r="GC334" s="1485"/>
      <c r="GD334" s="1485"/>
      <c r="GE334" s="1485"/>
      <c r="GF334" s="1485"/>
      <c r="GG334" s="1485"/>
      <c r="GH334" s="1485"/>
    </row>
    <row r="335" spans="144:190" s="1295" customFormat="1" x14ac:dyDescent="0.25">
      <c r="EN335" s="1485"/>
      <c r="EO335" s="1485"/>
      <c r="EP335" s="1485"/>
      <c r="EQ335" s="1485"/>
      <c r="ER335" s="1485"/>
      <c r="ES335" s="1485"/>
      <c r="ET335" s="1485"/>
      <c r="EU335" s="1485"/>
      <c r="EV335" s="1485"/>
      <c r="EW335" s="1485"/>
      <c r="EX335" s="1486"/>
      <c r="EY335" s="1486"/>
      <c r="EZ335" s="1487"/>
      <c r="FA335" s="1487"/>
      <c r="FB335" s="1151"/>
      <c r="FC335" s="1151"/>
      <c r="FD335" s="1151"/>
      <c r="FE335" s="1151"/>
      <c r="FF335" s="1151"/>
      <c r="FG335" s="1151"/>
      <c r="FH335" s="1151"/>
      <c r="FI335" s="1151"/>
      <c r="FJ335" s="1151"/>
      <c r="FK335" s="1151"/>
      <c r="FL335" s="1151"/>
      <c r="FM335" s="1151"/>
      <c r="FN335" s="1151"/>
      <c r="FO335" s="1151"/>
      <c r="FP335" s="1151"/>
      <c r="FQ335" s="1151"/>
      <c r="FR335" s="1151"/>
      <c r="FS335" s="1151"/>
      <c r="FT335" s="1151"/>
      <c r="FU335" s="1151"/>
      <c r="FV335" s="1151"/>
      <c r="FW335" s="1151"/>
      <c r="FX335" s="1151"/>
      <c r="FY335" s="1488"/>
      <c r="FZ335" s="1488"/>
      <c r="GA335" s="1488"/>
      <c r="GB335" s="1485"/>
      <c r="GC335" s="1485"/>
      <c r="GD335" s="1485"/>
      <c r="GE335" s="1485"/>
      <c r="GF335" s="1485"/>
      <c r="GG335" s="1485"/>
      <c r="GH335" s="1485"/>
    </row>
    <row r="336" spans="144:190" s="1295" customFormat="1" x14ac:dyDescent="0.25">
      <c r="EN336" s="1485"/>
      <c r="EO336" s="1485"/>
      <c r="EP336" s="1485"/>
      <c r="EQ336" s="1485"/>
      <c r="ER336" s="1485"/>
      <c r="ES336" s="1485"/>
      <c r="ET336" s="1485"/>
      <c r="EU336" s="1485"/>
      <c r="EV336" s="1485"/>
      <c r="EW336" s="1485"/>
      <c r="EX336" s="1486"/>
      <c r="EY336" s="1486"/>
      <c r="EZ336" s="1487"/>
      <c r="FA336" s="1487"/>
      <c r="FB336" s="1151"/>
      <c r="FC336" s="1151"/>
      <c r="FD336" s="1151"/>
      <c r="FE336" s="1151"/>
      <c r="FF336" s="1151"/>
      <c r="FG336" s="1151"/>
      <c r="FH336" s="1151"/>
      <c r="FI336" s="1151"/>
      <c r="FJ336" s="1151"/>
      <c r="FK336" s="1151"/>
      <c r="FL336" s="1151"/>
      <c r="FM336" s="1151"/>
      <c r="FN336" s="1151"/>
      <c r="FO336" s="1151"/>
      <c r="FP336" s="1151"/>
      <c r="FQ336" s="1151"/>
      <c r="FR336" s="1151"/>
      <c r="FS336" s="1151"/>
      <c r="FT336" s="1151"/>
      <c r="FU336" s="1151"/>
      <c r="FV336" s="1151"/>
      <c r="FW336" s="1151"/>
      <c r="FX336" s="1151"/>
      <c r="FY336" s="1488"/>
      <c r="FZ336" s="1488"/>
      <c r="GA336" s="1488"/>
      <c r="GB336" s="1485"/>
      <c r="GC336" s="1485"/>
      <c r="GD336" s="1485"/>
      <c r="GE336" s="1485"/>
      <c r="GF336" s="1485"/>
      <c r="GG336" s="1485"/>
      <c r="GH336" s="1485"/>
    </row>
    <row r="337" spans="144:190" s="1295" customFormat="1" x14ac:dyDescent="0.25">
      <c r="EN337" s="1485"/>
      <c r="EO337" s="1485"/>
      <c r="EP337" s="1485"/>
      <c r="EQ337" s="1485"/>
      <c r="ER337" s="1485"/>
      <c r="ES337" s="1485"/>
      <c r="ET337" s="1485"/>
      <c r="EU337" s="1485"/>
      <c r="EV337" s="1485"/>
      <c r="EW337" s="1485"/>
      <c r="EX337" s="1486"/>
      <c r="EY337" s="1486"/>
      <c r="EZ337" s="1487"/>
      <c r="FA337" s="1487"/>
      <c r="FB337" s="1151"/>
      <c r="FC337" s="1151"/>
      <c r="FD337" s="1151"/>
      <c r="FE337" s="1151"/>
      <c r="FF337" s="1151"/>
      <c r="FG337" s="1151"/>
      <c r="FH337" s="1151"/>
      <c r="FI337" s="1151"/>
      <c r="FJ337" s="1151"/>
      <c r="FK337" s="1151"/>
      <c r="FL337" s="1151"/>
      <c r="FM337" s="1151"/>
      <c r="FN337" s="1151"/>
      <c r="FO337" s="1151"/>
      <c r="FP337" s="1151"/>
      <c r="FQ337" s="1151"/>
      <c r="FR337" s="1151"/>
      <c r="FS337" s="1151"/>
      <c r="FT337" s="1151"/>
      <c r="FU337" s="1151"/>
      <c r="FV337" s="1151"/>
      <c r="FW337" s="1151"/>
      <c r="FX337" s="1151"/>
      <c r="FY337" s="1488"/>
      <c r="FZ337" s="1488"/>
      <c r="GA337" s="1488"/>
      <c r="GB337" s="1485"/>
      <c r="GC337" s="1485"/>
      <c r="GD337" s="1485"/>
      <c r="GE337" s="1485"/>
      <c r="GF337" s="1485"/>
      <c r="GG337" s="1485"/>
      <c r="GH337" s="1485"/>
    </row>
    <row r="338" spans="144:190" s="1295" customFormat="1" x14ac:dyDescent="0.25">
      <c r="EN338" s="1485"/>
      <c r="EO338" s="1485"/>
      <c r="EP338" s="1485"/>
      <c r="EQ338" s="1485"/>
      <c r="ER338" s="1485"/>
      <c r="ES338" s="1485"/>
      <c r="ET338" s="1485"/>
      <c r="EU338" s="1485"/>
      <c r="EV338" s="1485"/>
      <c r="EW338" s="1485"/>
      <c r="EX338" s="1486"/>
      <c r="EY338" s="1486"/>
      <c r="EZ338" s="1487"/>
      <c r="FA338" s="1487"/>
      <c r="FB338" s="1151"/>
      <c r="FC338" s="1151"/>
      <c r="FD338" s="1151"/>
      <c r="FE338" s="1151"/>
      <c r="FF338" s="1151"/>
      <c r="FG338" s="1151"/>
      <c r="FH338" s="1151"/>
      <c r="FI338" s="1151"/>
      <c r="FJ338" s="1151"/>
      <c r="FK338" s="1151"/>
      <c r="FL338" s="1151"/>
      <c r="FM338" s="1151"/>
      <c r="FN338" s="1151"/>
      <c r="FO338" s="1151"/>
      <c r="FP338" s="1151"/>
      <c r="FQ338" s="1151"/>
      <c r="FR338" s="1151"/>
      <c r="FS338" s="1151"/>
      <c r="FT338" s="1151"/>
      <c r="FU338" s="1151"/>
      <c r="FV338" s="1151"/>
      <c r="FW338" s="1151"/>
      <c r="FX338" s="1151"/>
      <c r="FY338" s="1488"/>
      <c r="FZ338" s="1488"/>
      <c r="GA338" s="1488"/>
      <c r="GB338" s="1485"/>
      <c r="GC338" s="1485"/>
      <c r="GD338" s="1485"/>
      <c r="GE338" s="1485"/>
      <c r="GF338" s="1485"/>
      <c r="GG338" s="1485"/>
      <c r="GH338" s="1485"/>
    </row>
    <row r="339" spans="144:190" s="1295" customFormat="1" x14ac:dyDescent="0.25">
      <c r="EN339" s="1485"/>
      <c r="EO339" s="1485"/>
      <c r="EP339" s="1485"/>
      <c r="EQ339" s="1485"/>
      <c r="ER339" s="1485"/>
      <c r="ES339" s="1485"/>
      <c r="ET339" s="1485"/>
      <c r="EU339" s="1485"/>
      <c r="EV339" s="1485"/>
      <c r="EW339" s="1485"/>
      <c r="EX339" s="1486"/>
      <c r="EY339" s="1486"/>
      <c r="EZ339" s="1487"/>
      <c r="FA339" s="1487"/>
      <c r="FB339" s="1151"/>
      <c r="FC339" s="1151"/>
      <c r="FD339" s="1151"/>
      <c r="FE339" s="1151"/>
      <c r="FF339" s="1151"/>
      <c r="FG339" s="1151"/>
      <c r="FH339" s="1151"/>
      <c r="FI339" s="1151"/>
      <c r="FJ339" s="1151"/>
      <c r="FK339" s="1151"/>
      <c r="FL339" s="1151"/>
      <c r="FM339" s="1151"/>
      <c r="FN339" s="1151"/>
      <c r="FO339" s="1151"/>
      <c r="FP339" s="1151"/>
      <c r="FQ339" s="1151"/>
      <c r="FR339" s="1151"/>
      <c r="FS339" s="1151"/>
      <c r="FT339" s="1151"/>
      <c r="FU339" s="1151"/>
      <c r="FV339" s="1151"/>
      <c r="FW339" s="1151"/>
      <c r="FX339" s="1151"/>
      <c r="FY339" s="1488"/>
      <c r="FZ339" s="1488"/>
      <c r="GA339" s="1488"/>
      <c r="GB339" s="1485"/>
      <c r="GC339" s="1485"/>
      <c r="GD339" s="1485"/>
      <c r="GE339" s="1485"/>
      <c r="GF339" s="1485"/>
      <c r="GG339" s="1485"/>
      <c r="GH339" s="1485"/>
    </row>
    <row r="340" spans="144:190" s="1295" customFormat="1" x14ac:dyDescent="0.25">
      <c r="EN340" s="1485"/>
      <c r="EO340" s="1485"/>
      <c r="EP340" s="1485"/>
      <c r="EQ340" s="1485"/>
      <c r="ER340" s="1485"/>
      <c r="ES340" s="1485"/>
      <c r="ET340" s="1485"/>
      <c r="EU340" s="1485"/>
      <c r="EV340" s="1485"/>
      <c r="EW340" s="1485"/>
      <c r="EX340" s="1486"/>
      <c r="EY340" s="1486"/>
      <c r="EZ340" s="1487"/>
      <c r="FA340" s="1487"/>
      <c r="FB340" s="1151"/>
      <c r="FC340" s="1151"/>
      <c r="FD340" s="1151"/>
      <c r="FE340" s="1151"/>
      <c r="FF340" s="1151"/>
      <c r="FG340" s="1151"/>
      <c r="FH340" s="1151"/>
      <c r="FI340" s="1151"/>
      <c r="FJ340" s="1151"/>
      <c r="FK340" s="1151"/>
      <c r="FL340" s="1151"/>
      <c r="FM340" s="1151"/>
      <c r="FN340" s="1151"/>
      <c r="FO340" s="1151"/>
      <c r="FP340" s="1151"/>
      <c r="FQ340" s="1151"/>
      <c r="FR340" s="1151"/>
      <c r="FS340" s="1151"/>
      <c r="FT340" s="1151"/>
      <c r="FU340" s="1151"/>
      <c r="FV340" s="1151"/>
      <c r="FW340" s="1151"/>
      <c r="FX340" s="1151"/>
      <c r="FY340" s="1488"/>
      <c r="FZ340" s="1488"/>
      <c r="GA340" s="1488"/>
      <c r="GB340" s="1485"/>
      <c r="GC340" s="1485"/>
      <c r="GD340" s="1485"/>
      <c r="GE340" s="1485"/>
      <c r="GF340" s="1485"/>
      <c r="GG340" s="1485"/>
      <c r="GH340" s="1485"/>
    </row>
    <row r="341" spans="144:190" s="1295" customFormat="1" x14ac:dyDescent="0.25">
      <c r="EN341" s="1485"/>
      <c r="EO341" s="1485"/>
      <c r="EP341" s="1485"/>
      <c r="EQ341" s="1485"/>
      <c r="ER341" s="1485"/>
      <c r="ES341" s="1485"/>
      <c r="ET341" s="1485"/>
      <c r="EU341" s="1485"/>
      <c r="EV341" s="1485"/>
      <c r="EW341" s="1485"/>
      <c r="EX341" s="1486"/>
      <c r="EY341" s="1486"/>
      <c r="EZ341" s="1487"/>
      <c r="FA341" s="1487"/>
      <c r="FB341" s="1151"/>
      <c r="FC341" s="1151"/>
      <c r="FD341" s="1151"/>
      <c r="FE341" s="1151"/>
      <c r="FF341" s="1151"/>
      <c r="FG341" s="1151"/>
      <c r="FH341" s="1151"/>
      <c r="FI341" s="1151"/>
      <c r="FJ341" s="1151"/>
      <c r="FK341" s="1151"/>
      <c r="FL341" s="1151"/>
      <c r="FM341" s="1151"/>
      <c r="FN341" s="1151"/>
      <c r="FO341" s="1151"/>
      <c r="FP341" s="1151"/>
      <c r="FQ341" s="1151"/>
      <c r="FR341" s="1151"/>
      <c r="FS341" s="1151"/>
      <c r="FT341" s="1151"/>
      <c r="FU341" s="1151"/>
      <c r="FV341" s="1151"/>
      <c r="FW341" s="1151"/>
      <c r="FX341" s="1151"/>
      <c r="FY341" s="1488"/>
      <c r="FZ341" s="1488"/>
      <c r="GA341" s="1488"/>
      <c r="GB341" s="1485"/>
      <c r="GC341" s="1485"/>
      <c r="GD341" s="1485"/>
      <c r="GE341" s="1485"/>
      <c r="GF341" s="1485"/>
      <c r="GG341" s="1485"/>
      <c r="GH341" s="1485"/>
    </row>
    <row r="342" spans="144:190" s="1295" customFormat="1" x14ac:dyDescent="0.25">
      <c r="EN342" s="1485"/>
      <c r="EO342" s="1485"/>
      <c r="EP342" s="1485"/>
      <c r="EQ342" s="1485"/>
      <c r="ER342" s="1485"/>
      <c r="ES342" s="1485"/>
      <c r="ET342" s="1485"/>
      <c r="EU342" s="1485"/>
      <c r="EV342" s="1485"/>
      <c r="EW342" s="1485"/>
      <c r="EX342" s="1486"/>
      <c r="EY342" s="1486"/>
      <c r="EZ342" s="1487"/>
      <c r="FA342" s="1487"/>
      <c r="FB342" s="1151"/>
      <c r="FC342" s="1151"/>
      <c r="FD342" s="1151"/>
      <c r="FE342" s="1151"/>
      <c r="FF342" s="1151"/>
      <c r="FG342" s="1151"/>
      <c r="FH342" s="1151"/>
      <c r="FI342" s="1151"/>
      <c r="FJ342" s="1151"/>
      <c r="FK342" s="1151"/>
      <c r="FL342" s="1151"/>
      <c r="FM342" s="1151"/>
      <c r="FN342" s="1151"/>
      <c r="FO342" s="1151"/>
      <c r="FP342" s="1151"/>
      <c r="FQ342" s="1151"/>
      <c r="FR342" s="1151"/>
      <c r="FS342" s="1151"/>
      <c r="FT342" s="1151"/>
      <c r="FU342" s="1151"/>
      <c r="FV342" s="1151"/>
      <c r="FW342" s="1151"/>
      <c r="FX342" s="1151"/>
      <c r="FY342" s="1488"/>
      <c r="FZ342" s="1488"/>
      <c r="GA342" s="1488"/>
      <c r="GB342" s="1485"/>
      <c r="GC342" s="1485"/>
      <c r="GD342" s="1485"/>
      <c r="GE342" s="1485"/>
      <c r="GF342" s="1485"/>
      <c r="GG342" s="1485"/>
      <c r="GH342" s="1485"/>
    </row>
    <row r="343" spans="144:190" s="1295" customFormat="1" x14ac:dyDescent="0.25">
      <c r="EN343" s="1485"/>
      <c r="EO343" s="1485"/>
      <c r="EP343" s="1485"/>
      <c r="EQ343" s="1485"/>
      <c r="ER343" s="1485"/>
      <c r="ES343" s="1485"/>
      <c r="ET343" s="1485"/>
      <c r="EU343" s="1485"/>
      <c r="EV343" s="1485"/>
      <c r="EW343" s="1485"/>
      <c r="EX343" s="1486"/>
      <c r="EY343" s="1486"/>
      <c r="EZ343" s="1487"/>
      <c r="FA343" s="1487"/>
      <c r="FB343" s="1151"/>
      <c r="FC343" s="1151"/>
      <c r="FD343" s="1151"/>
      <c r="FE343" s="1151"/>
      <c r="FF343" s="1151"/>
      <c r="FG343" s="1151"/>
      <c r="FH343" s="1151"/>
      <c r="FI343" s="1151"/>
      <c r="FJ343" s="1151"/>
      <c r="FK343" s="1151"/>
      <c r="FL343" s="1151"/>
      <c r="FM343" s="1151"/>
      <c r="FN343" s="1151"/>
      <c r="FO343" s="1151"/>
      <c r="FP343" s="1151"/>
      <c r="FQ343" s="1151"/>
      <c r="FR343" s="1151"/>
      <c r="FS343" s="1151"/>
      <c r="FT343" s="1151"/>
      <c r="FU343" s="1151"/>
      <c r="FV343" s="1151"/>
      <c r="FW343" s="1151"/>
      <c r="FX343" s="1151"/>
      <c r="FY343" s="1488"/>
      <c r="FZ343" s="1488"/>
      <c r="GA343" s="1488"/>
      <c r="GB343" s="1485"/>
      <c r="GC343" s="1485"/>
      <c r="GD343" s="1485"/>
      <c r="GE343" s="1485"/>
      <c r="GF343" s="1485"/>
      <c r="GG343" s="1485"/>
      <c r="GH343" s="1485"/>
    </row>
    <row r="344" spans="144:190" s="1295" customFormat="1" x14ac:dyDescent="0.25">
      <c r="EN344" s="1485"/>
      <c r="EO344" s="1485"/>
      <c r="EP344" s="1485"/>
      <c r="EQ344" s="1485"/>
      <c r="ER344" s="1485"/>
      <c r="ES344" s="1485"/>
      <c r="ET344" s="1485"/>
      <c r="EU344" s="1485"/>
      <c r="EV344" s="1485"/>
      <c r="EW344" s="1485"/>
      <c r="EX344" s="1486"/>
      <c r="EY344" s="1486"/>
      <c r="EZ344" s="1487"/>
      <c r="FA344" s="1487"/>
      <c r="FB344" s="1151"/>
      <c r="FC344" s="1151"/>
      <c r="FD344" s="1151"/>
      <c r="FE344" s="1151"/>
      <c r="FF344" s="1151"/>
      <c r="FG344" s="1151"/>
      <c r="FH344" s="1151"/>
      <c r="FI344" s="1151"/>
      <c r="FJ344" s="1151"/>
      <c r="FK344" s="1151"/>
      <c r="FL344" s="1151"/>
      <c r="FM344" s="1151"/>
      <c r="FN344" s="1151"/>
      <c r="FO344" s="1151"/>
      <c r="FP344" s="1151"/>
      <c r="FQ344" s="1151"/>
      <c r="FR344" s="1151"/>
      <c r="FS344" s="1151"/>
      <c r="FT344" s="1151"/>
      <c r="FU344" s="1151"/>
      <c r="FV344" s="1151"/>
      <c r="FW344" s="1151"/>
      <c r="FX344" s="1151"/>
      <c r="FY344" s="1488"/>
      <c r="FZ344" s="1488"/>
      <c r="GA344" s="1488"/>
      <c r="GB344" s="1485"/>
      <c r="GC344" s="1485"/>
      <c r="GD344" s="1485"/>
      <c r="GE344" s="1485"/>
      <c r="GF344" s="1485"/>
      <c r="GG344" s="1485"/>
      <c r="GH344" s="1485"/>
    </row>
    <row r="345" spans="144:190" s="1295" customFormat="1" x14ac:dyDescent="0.25">
      <c r="EN345" s="1485"/>
      <c r="EO345" s="1485"/>
      <c r="EP345" s="1485"/>
      <c r="EQ345" s="1485"/>
      <c r="ER345" s="1485"/>
      <c r="ES345" s="1485"/>
      <c r="ET345" s="1485"/>
      <c r="EU345" s="1485"/>
      <c r="EV345" s="1485"/>
      <c r="EW345" s="1485"/>
      <c r="EX345" s="1486"/>
      <c r="EY345" s="1486"/>
      <c r="EZ345" s="1487"/>
      <c r="FA345" s="1487"/>
      <c r="FB345" s="1151"/>
      <c r="FC345" s="1151"/>
      <c r="FD345" s="1151"/>
      <c r="FE345" s="1151"/>
      <c r="FF345" s="1151"/>
      <c r="FG345" s="1151"/>
      <c r="FH345" s="1151"/>
      <c r="FI345" s="1151"/>
      <c r="FJ345" s="1151"/>
      <c r="FK345" s="1151"/>
      <c r="FL345" s="1151"/>
      <c r="FM345" s="1151"/>
      <c r="FN345" s="1151"/>
      <c r="FO345" s="1151"/>
      <c r="FP345" s="1151"/>
      <c r="FQ345" s="1151"/>
      <c r="FR345" s="1151"/>
      <c r="FS345" s="1151"/>
      <c r="FT345" s="1151"/>
      <c r="FU345" s="1151"/>
      <c r="FV345" s="1151"/>
      <c r="FW345" s="1151"/>
      <c r="FX345" s="1151"/>
      <c r="FY345" s="1488"/>
      <c r="FZ345" s="1488"/>
      <c r="GA345" s="1488"/>
      <c r="GB345" s="1485"/>
      <c r="GC345" s="1485"/>
      <c r="GD345" s="1485"/>
      <c r="GE345" s="1485"/>
      <c r="GF345" s="1485"/>
      <c r="GG345" s="1485"/>
      <c r="GH345" s="1485"/>
    </row>
    <row r="346" spans="144:190" s="1295" customFormat="1" x14ac:dyDescent="0.25">
      <c r="EN346" s="1485"/>
      <c r="EO346" s="1485"/>
      <c r="EP346" s="1485"/>
      <c r="EQ346" s="1485"/>
      <c r="ER346" s="1485"/>
      <c r="ES346" s="1485"/>
      <c r="ET346" s="1485"/>
      <c r="EU346" s="1485"/>
      <c r="EV346" s="1485"/>
      <c r="EW346" s="1485"/>
      <c r="EX346" s="1486"/>
      <c r="EY346" s="1486"/>
      <c r="EZ346" s="1487"/>
      <c r="FA346" s="1487"/>
      <c r="FB346" s="1151"/>
      <c r="FC346" s="1151"/>
      <c r="FD346" s="1151"/>
      <c r="FE346" s="1151"/>
      <c r="FF346" s="1151"/>
      <c r="FG346" s="1151"/>
      <c r="FH346" s="1151"/>
      <c r="FI346" s="1151"/>
      <c r="FJ346" s="1151"/>
      <c r="FK346" s="1151"/>
      <c r="FL346" s="1151"/>
      <c r="FM346" s="1151"/>
      <c r="FN346" s="1151"/>
      <c r="FO346" s="1151"/>
      <c r="FP346" s="1151"/>
      <c r="FQ346" s="1151"/>
      <c r="FR346" s="1151"/>
      <c r="FS346" s="1151"/>
      <c r="FT346" s="1151"/>
      <c r="FU346" s="1151"/>
      <c r="FV346" s="1151"/>
      <c r="FW346" s="1151"/>
      <c r="FX346" s="1151"/>
      <c r="FY346" s="1488"/>
      <c r="FZ346" s="1488"/>
      <c r="GA346" s="1488"/>
      <c r="GB346" s="1485"/>
      <c r="GC346" s="1485"/>
      <c r="GD346" s="1485"/>
      <c r="GE346" s="1485"/>
      <c r="GF346" s="1485"/>
      <c r="GG346" s="1485"/>
      <c r="GH346" s="1485"/>
    </row>
    <row r="347" spans="144:190" s="1295" customFormat="1" x14ac:dyDescent="0.25">
      <c r="EN347" s="1485"/>
      <c r="EO347" s="1485"/>
      <c r="EP347" s="1485"/>
      <c r="EQ347" s="1485"/>
      <c r="ER347" s="1485"/>
      <c r="ES347" s="1485"/>
      <c r="ET347" s="1485"/>
      <c r="EU347" s="1485"/>
      <c r="EV347" s="1485"/>
      <c r="EW347" s="1485"/>
      <c r="EX347" s="1486"/>
      <c r="EY347" s="1486"/>
      <c r="EZ347" s="1487"/>
      <c r="FA347" s="1487"/>
      <c r="FB347" s="1151"/>
      <c r="FC347" s="1151"/>
      <c r="FD347" s="1151"/>
      <c r="FE347" s="1151"/>
      <c r="FF347" s="1151"/>
      <c r="FG347" s="1151"/>
      <c r="FH347" s="1151"/>
      <c r="FI347" s="1151"/>
      <c r="FJ347" s="1151"/>
      <c r="FK347" s="1151"/>
      <c r="FL347" s="1151"/>
      <c r="FM347" s="1151"/>
      <c r="FN347" s="1151"/>
      <c r="FO347" s="1151"/>
      <c r="FP347" s="1151"/>
      <c r="FQ347" s="1151"/>
      <c r="FR347" s="1151"/>
      <c r="FS347" s="1151"/>
      <c r="FT347" s="1151"/>
      <c r="FU347" s="1151"/>
      <c r="FV347" s="1151"/>
      <c r="FW347" s="1151"/>
      <c r="FX347" s="1151"/>
      <c r="FY347" s="1488"/>
      <c r="FZ347" s="1488"/>
      <c r="GA347" s="1488"/>
      <c r="GB347" s="1485"/>
      <c r="GC347" s="1485"/>
      <c r="GD347" s="1485"/>
      <c r="GE347" s="1485"/>
      <c r="GF347" s="1485"/>
      <c r="GG347" s="1485"/>
      <c r="GH347" s="1485"/>
    </row>
    <row r="348" spans="144:190" s="1295" customFormat="1" x14ac:dyDescent="0.25">
      <c r="EN348" s="1485"/>
      <c r="EO348" s="1485"/>
      <c r="EP348" s="1485"/>
      <c r="EQ348" s="1485"/>
      <c r="ER348" s="1485"/>
      <c r="ES348" s="1485"/>
      <c r="ET348" s="1485"/>
      <c r="EU348" s="1485"/>
      <c r="EV348" s="1485"/>
      <c r="EW348" s="1485"/>
      <c r="EX348" s="1486"/>
      <c r="EY348" s="1486"/>
      <c r="EZ348" s="1487"/>
      <c r="FA348" s="1487"/>
      <c r="FB348" s="1151"/>
      <c r="FC348" s="1151"/>
      <c r="FD348" s="1151"/>
      <c r="FE348" s="1151"/>
      <c r="FF348" s="1151"/>
      <c r="FG348" s="1151"/>
      <c r="FH348" s="1151"/>
      <c r="FI348" s="1151"/>
      <c r="FJ348" s="1151"/>
      <c r="FK348" s="1151"/>
      <c r="FL348" s="1151"/>
      <c r="FM348" s="1151"/>
      <c r="FN348" s="1151"/>
      <c r="FO348" s="1151"/>
      <c r="FP348" s="1151"/>
      <c r="FQ348" s="1151"/>
      <c r="FR348" s="1151"/>
      <c r="FS348" s="1151"/>
      <c r="FT348" s="1151"/>
      <c r="FU348" s="1151"/>
      <c r="FV348" s="1151"/>
      <c r="FW348" s="1151"/>
      <c r="FX348" s="1151"/>
      <c r="FY348" s="1488"/>
      <c r="FZ348" s="1488"/>
      <c r="GA348" s="1488"/>
      <c r="GB348" s="1485"/>
      <c r="GC348" s="1485"/>
      <c r="GD348" s="1485"/>
      <c r="GE348" s="1485"/>
      <c r="GF348" s="1485"/>
      <c r="GG348" s="1485"/>
      <c r="GH348" s="1485"/>
    </row>
    <row r="349" spans="144:190" s="1295" customFormat="1" x14ac:dyDescent="0.25">
      <c r="EN349" s="1485"/>
      <c r="EO349" s="1485"/>
      <c r="EP349" s="1485"/>
      <c r="EQ349" s="1485"/>
      <c r="ER349" s="1485"/>
      <c r="ES349" s="1485"/>
      <c r="ET349" s="1485"/>
      <c r="EU349" s="1485"/>
      <c r="EV349" s="1485"/>
      <c r="EW349" s="1485"/>
      <c r="EX349" s="1486"/>
      <c r="EY349" s="1486"/>
      <c r="EZ349" s="1487"/>
      <c r="FA349" s="1487"/>
      <c r="FB349" s="1151"/>
      <c r="FC349" s="1151"/>
      <c r="FD349" s="1151"/>
      <c r="FE349" s="1151"/>
      <c r="FF349" s="1151"/>
      <c r="FG349" s="1151"/>
      <c r="FH349" s="1151"/>
      <c r="FI349" s="1151"/>
      <c r="FJ349" s="1151"/>
      <c r="FK349" s="1151"/>
      <c r="FL349" s="1151"/>
      <c r="FM349" s="1151"/>
      <c r="FN349" s="1151"/>
      <c r="FO349" s="1151"/>
      <c r="FP349" s="1151"/>
      <c r="FQ349" s="1151"/>
      <c r="FR349" s="1151"/>
      <c r="FS349" s="1151"/>
      <c r="FT349" s="1151"/>
      <c r="FU349" s="1151"/>
      <c r="FV349" s="1151"/>
      <c r="FW349" s="1151"/>
      <c r="FX349" s="1151"/>
      <c r="FY349" s="1488"/>
      <c r="FZ349" s="1488"/>
      <c r="GA349" s="1488"/>
      <c r="GB349" s="1485"/>
      <c r="GC349" s="1485"/>
      <c r="GD349" s="1485"/>
      <c r="GE349" s="1485"/>
      <c r="GF349" s="1485"/>
      <c r="GG349" s="1485"/>
      <c r="GH349" s="1485"/>
    </row>
    <row r="350" spans="144:190" s="1295" customFormat="1" x14ac:dyDescent="0.25">
      <c r="EN350" s="1485"/>
      <c r="EO350" s="1485"/>
      <c r="EP350" s="1485"/>
      <c r="EQ350" s="1485"/>
      <c r="ER350" s="1485"/>
      <c r="ES350" s="1485"/>
      <c r="ET350" s="1485"/>
      <c r="EU350" s="1485"/>
      <c r="EV350" s="1485"/>
      <c r="EW350" s="1485"/>
      <c r="EX350" s="1486"/>
      <c r="EY350" s="1486"/>
      <c r="EZ350" s="1487"/>
      <c r="FA350" s="1487"/>
      <c r="FB350" s="1151"/>
      <c r="FC350" s="1151"/>
      <c r="FD350" s="1151"/>
      <c r="FE350" s="1151"/>
      <c r="FF350" s="1151"/>
      <c r="FG350" s="1151"/>
      <c r="FH350" s="1151"/>
      <c r="FI350" s="1151"/>
      <c r="FJ350" s="1151"/>
      <c r="FK350" s="1151"/>
      <c r="FL350" s="1151"/>
      <c r="FM350" s="1151"/>
      <c r="FN350" s="1151"/>
      <c r="FO350" s="1151"/>
      <c r="FP350" s="1151"/>
      <c r="FQ350" s="1151"/>
      <c r="FR350" s="1151"/>
      <c r="FS350" s="1151"/>
      <c r="FT350" s="1151"/>
      <c r="FU350" s="1151"/>
      <c r="FV350" s="1151"/>
      <c r="FW350" s="1151"/>
      <c r="FX350" s="1151"/>
      <c r="FY350" s="1488"/>
      <c r="FZ350" s="1488"/>
      <c r="GA350" s="1488"/>
      <c r="GB350" s="1485"/>
      <c r="GC350" s="1485"/>
      <c r="GD350" s="1485"/>
      <c r="GE350" s="1485"/>
      <c r="GF350" s="1485"/>
      <c r="GG350" s="1485"/>
      <c r="GH350" s="1485"/>
    </row>
    <row r="351" spans="144:190" s="1295" customFormat="1" x14ac:dyDescent="0.25">
      <c r="EN351" s="1485"/>
      <c r="EO351" s="1485"/>
      <c r="EP351" s="1485"/>
      <c r="EQ351" s="1485"/>
      <c r="ER351" s="1485"/>
      <c r="ES351" s="1485"/>
      <c r="ET351" s="1485"/>
      <c r="EU351" s="1485"/>
      <c r="EV351" s="1485"/>
      <c r="EW351" s="1485"/>
      <c r="EX351" s="1486"/>
      <c r="EY351" s="1486"/>
      <c r="EZ351" s="1487"/>
      <c r="FA351" s="1487"/>
      <c r="FB351" s="1151"/>
      <c r="FC351" s="1151"/>
      <c r="FD351" s="1151"/>
      <c r="FE351" s="1151"/>
      <c r="FF351" s="1151"/>
      <c r="FG351" s="1151"/>
      <c r="FH351" s="1151"/>
      <c r="FI351" s="1151"/>
      <c r="FJ351" s="1151"/>
      <c r="FK351" s="1151"/>
      <c r="FL351" s="1151"/>
      <c r="FM351" s="1151"/>
      <c r="FN351" s="1151"/>
      <c r="FO351" s="1151"/>
      <c r="FP351" s="1151"/>
      <c r="FQ351" s="1151"/>
      <c r="FR351" s="1151"/>
      <c r="FS351" s="1151"/>
      <c r="FT351" s="1151"/>
      <c r="FU351" s="1151"/>
      <c r="FV351" s="1151"/>
      <c r="FW351" s="1151"/>
      <c r="FX351" s="1151"/>
      <c r="FY351" s="1488"/>
      <c r="FZ351" s="1488"/>
      <c r="GA351" s="1488"/>
      <c r="GB351" s="1485"/>
      <c r="GC351" s="1485"/>
      <c r="GD351" s="1485"/>
      <c r="GE351" s="1485"/>
      <c r="GF351" s="1485"/>
      <c r="GG351" s="1485"/>
      <c r="GH351" s="1485"/>
    </row>
    <row r="352" spans="144:190" s="1295" customFormat="1" x14ac:dyDescent="0.25">
      <c r="EN352" s="1485"/>
      <c r="EO352" s="1485"/>
      <c r="EP352" s="1485"/>
      <c r="EQ352" s="1485"/>
      <c r="ER352" s="1485"/>
      <c r="ES352" s="1485"/>
      <c r="ET352" s="1485"/>
      <c r="EU352" s="1485"/>
      <c r="EV352" s="1485"/>
      <c r="EW352" s="1485"/>
      <c r="EX352" s="1486"/>
      <c r="EY352" s="1486"/>
      <c r="EZ352" s="1487"/>
      <c r="FA352" s="1487"/>
      <c r="FB352" s="1151"/>
      <c r="FC352" s="1151"/>
      <c r="FD352" s="1151"/>
      <c r="FE352" s="1151"/>
      <c r="FF352" s="1151"/>
      <c r="FG352" s="1151"/>
      <c r="FH352" s="1151"/>
      <c r="FI352" s="1151"/>
      <c r="FJ352" s="1151"/>
      <c r="FK352" s="1151"/>
      <c r="FL352" s="1151"/>
      <c r="FM352" s="1151"/>
      <c r="FN352" s="1151"/>
      <c r="FO352" s="1151"/>
      <c r="FP352" s="1151"/>
      <c r="FQ352" s="1151"/>
      <c r="FR352" s="1151"/>
      <c r="FS352" s="1151"/>
      <c r="FT352" s="1151"/>
      <c r="FU352" s="1151"/>
      <c r="FV352" s="1151"/>
      <c r="FW352" s="1151"/>
      <c r="FX352" s="1151"/>
      <c r="FY352" s="1488"/>
      <c r="FZ352" s="1488"/>
      <c r="GA352" s="1488"/>
      <c r="GB352" s="1485"/>
      <c r="GC352" s="1485"/>
      <c r="GD352" s="1485"/>
      <c r="GE352" s="1485"/>
      <c r="GF352" s="1485"/>
      <c r="GG352" s="1485"/>
      <c r="GH352" s="1485"/>
    </row>
    <row r="353" spans="144:190" s="1295" customFormat="1" x14ac:dyDescent="0.25">
      <c r="EN353" s="1485"/>
      <c r="EO353" s="1485"/>
      <c r="EP353" s="1485"/>
      <c r="EQ353" s="1485"/>
      <c r="ER353" s="1485"/>
      <c r="ES353" s="1485"/>
      <c r="ET353" s="1485"/>
      <c r="EU353" s="1485"/>
      <c r="EV353" s="1485"/>
      <c r="EW353" s="1485"/>
      <c r="EX353" s="1486"/>
      <c r="EY353" s="1486"/>
      <c r="EZ353" s="1487"/>
      <c r="FA353" s="1487"/>
      <c r="FB353" s="1151"/>
      <c r="FC353" s="1151"/>
      <c r="FD353" s="1151"/>
      <c r="FE353" s="1151"/>
      <c r="FF353" s="1151"/>
      <c r="FG353" s="1151"/>
      <c r="FH353" s="1151"/>
      <c r="FI353" s="1151"/>
      <c r="FJ353" s="1151"/>
      <c r="FK353" s="1151"/>
      <c r="FL353" s="1151"/>
      <c r="FM353" s="1151"/>
      <c r="FN353" s="1151"/>
      <c r="FO353" s="1151"/>
      <c r="FP353" s="1151"/>
      <c r="FQ353" s="1151"/>
      <c r="FR353" s="1151"/>
      <c r="FS353" s="1151"/>
      <c r="FT353" s="1151"/>
      <c r="FU353" s="1151"/>
      <c r="FV353" s="1151"/>
      <c r="FW353" s="1151"/>
      <c r="FX353" s="1151"/>
      <c r="FY353" s="1488"/>
      <c r="FZ353" s="1488"/>
      <c r="GA353" s="1488"/>
      <c r="GB353" s="1485"/>
      <c r="GC353" s="1485"/>
      <c r="GD353" s="1485"/>
      <c r="GE353" s="1485"/>
      <c r="GF353" s="1485"/>
      <c r="GG353" s="1485"/>
      <c r="GH353" s="1485"/>
    </row>
    <row r="354" spans="144:190" s="1295" customFormat="1" x14ac:dyDescent="0.25">
      <c r="EN354" s="1485"/>
      <c r="EO354" s="1485"/>
      <c r="EP354" s="1485"/>
      <c r="EQ354" s="1485"/>
      <c r="ER354" s="1485"/>
      <c r="ES354" s="1485"/>
      <c r="ET354" s="1485"/>
      <c r="EU354" s="1485"/>
      <c r="EV354" s="1485"/>
      <c r="EW354" s="1485"/>
      <c r="EX354" s="1486"/>
      <c r="EY354" s="1486"/>
      <c r="EZ354" s="1487"/>
      <c r="FA354" s="1487"/>
      <c r="FB354" s="1151"/>
      <c r="FC354" s="1151"/>
      <c r="FD354" s="1151"/>
      <c r="FE354" s="1151"/>
      <c r="FF354" s="1151"/>
      <c r="FG354" s="1151"/>
      <c r="FH354" s="1151"/>
      <c r="FI354" s="1151"/>
      <c r="FJ354" s="1151"/>
      <c r="FK354" s="1151"/>
      <c r="FL354" s="1151"/>
      <c r="FM354" s="1151"/>
      <c r="FN354" s="1151"/>
      <c r="FO354" s="1151"/>
      <c r="FP354" s="1151"/>
      <c r="FQ354" s="1151"/>
      <c r="FR354" s="1151"/>
      <c r="FS354" s="1151"/>
      <c r="FT354" s="1151"/>
      <c r="FU354" s="1151"/>
      <c r="FV354" s="1151"/>
      <c r="FW354" s="1151"/>
      <c r="FX354" s="1151"/>
      <c r="FY354" s="1488"/>
      <c r="FZ354" s="1488"/>
      <c r="GA354" s="1488"/>
      <c r="GB354" s="1485"/>
      <c r="GC354" s="1485"/>
      <c r="GD354" s="1485"/>
      <c r="GE354" s="1485"/>
      <c r="GF354" s="1485"/>
      <c r="GG354" s="1485"/>
      <c r="GH354" s="1485"/>
    </row>
    <row r="355" spans="144:190" s="1295" customFormat="1" x14ac:dyDescent="0.25">
      <c r="EN355" s="1485"/>
      <c r="EO355" s="1485"/>
      <c r="EP355" s="1485"/>
      <c r="EQ355" s="1485"/>
      <c r="ER355" s="1485"/>
      <c r="ES355" s="1485"/>
      <c r="ET355" s="1485"/>
      <c r="EU355" s="1485"/>
      <c r="EV355" s="1485"/>
      <c r="EW355" s="1485"/>
      <c r="EX355" s="1486"/>
      <c r="EY355" s="1486"/>
      <c r="EZ355" s="1487"/>
      <c r="FA355" s="1487"/>
      <c r="FB355" s="1151"/>
      <c r="FC355" s="1151"/>
      <c r="FD355" s="1151"/>
      <c r="FE355" s="1151"/>
      <c r="FF355" s="1151"/>
      <c r="FG355" s="1151"/>
      <c r="FH355" s="1151"/>
      <c r="FI355" s="1151"/>
      <c r="FJ355" s="1151"/>
      <c r="FK355" s="1151"/>
      <c r="FL355" s="1151"/>
      <c r="FM355" s="1151"/>
      <c r="FN355" s="1151"/>
      <c r="FO355" s="1151"/>
      <c r="FP355" s="1151"/>
      <c r="FQ355" s="1151"/>
      <c r="FR355" s="1151"/>
      <c r="FS355" s="1151"/>
      <c r="FT355" s="1151"/>
      <c r="FU355" s="1151"/>
      <c r="FV355" s="1151"/>
      <c r="FW355" s="1151"/>
      <c r="FX355" s="1151"/>
      <c r="FY355" s="1488"/>
      <c r="FZ355" s="1488"/>
      <c r="GA355" s="1488"/>
      <c r="GB355" s="1485"/>
      <c r="GC355" s="1485"/>
      <c r="GD355" s="1485"/>
      <c r="GE355" s="1485"/>
      <c r="GF355" s="1485"/>
      <c r="GG355" s="1485"/>
      <c r="GH355" s="1485"/>
    </row>
    <row r="356" spans="144:190" s="1295" customFormat="1" x14ac:dyDescent="0.25">
      <c r="EN356" s="1485"/>
      <c r="EO356" s="1485"/>
      <c r="EP356" s="1485"/>
      <c r="EQ356" s="1485"/>
      <c r="ER356" s="1485"/>
      <c r="ES356" s="1485"/>
      <c r="ET356" s="1485"/>
      <c r="EU356" s="1485"/>
      <c r="EV356" s="1485"/>
      <c r="EW356" s="1485"/>
      <c r="EX356" s="1486"/>
      <c r="EY356" s="1486"/>
      <c r="EZ356" s="1487"/>
      <c r="FA356" s="1487"/>
      <c r="FB356" s="1151"/>
      <c r="FC356" s="1151"/>
      <c r="FD356" s="1151"/>
      <c r="FE356" s="1151"/>
      <c r="FF356" s="1151"/>
      <c r="FG356" s="1151"/>
      <c r="FH356" s="1151"/>
      <c r="FI356" s="1151"/>
      <c r="FJ356" s="1151"/>
      <c r="FK356" s="1151"/>
      <c r="FL356" s="1151"/>
      <c r="FM356" s="1151"/>
      <c r="FN356" s="1151"/>
      <c r="FO356" s="1151"/>
      <c r="FP356" s="1151"/>
      <c r="FQ356" s="1151"/>
      <c r="FR356" s="1151"/>
      <c r="FS356" s="1151"/>
      <c r="FT356" s="1151"/>
      <c r="FU356" s="1151"/>
      <c r="FV356" s="1151"/>
      <c r="FW356" s="1151"/>
      <c r="FX356" s="1151"/>
      <c r="FY356" s="1488"/>
      <c r="FZ356" s="1488"/>
      <c r="GA356" s="1488"/>
      <c r="GB356" s="1485"/>
      <c r="GC356" s="1485"/>
      <c r="GD356" s="1485"/>
      <c r="GE356" s="1485"/>
      <c r="GF356" s="1485"/>
      <c r="GG356" s="1485"/>
      <c r="GH356" s="1485"/>
    </row>
    <row r="357" spans="144:190" s="1295" customFormat="1" x14ac:dyDescent="0.25">
      <c r="EN357" s="1485"/>
      <c r="EO357" s="1485"/>
      <c r="EP357" s="1485"/>
      <c r="EQ357" s="1485"/>
      <c r="ER357" s="1485"/>
      <c r="ES357" s="1485"/>
      <c r="ET357" s="1485"/>
      <c r="EU357" s="1485"/>
      <c r="EV357" s="1485"/>
      <c r="EW357" s="1485"/>
      <c r="EX357" s="1486"/>
      <c r="EY357" s="1486"/>
      <c r="EZ357" s="1487"/>
      <c r="FA357" s="1487"/>
      <c r="FB357" s="1151"/>
      <c r="FC357" s="1151"/>
      <c r="FD357" s="1151"/>
      <c r="FE357" s="1151"/>
      <c r="FF357" s="1151"/>
      <c r="FG357" s="1151"/>
      <c r="FH357" s="1151"/>
      <c r="FI357" s="1151"/>
      <c r="FJ357" s="1151"/>
      <c r="FK357" s="1151"/>
      <c r="FL357" s="1151"/>
      <c r="FM357" s="1151"/>
      <c r="FN357" s="1151"/>
      <c r="FO357" s="1151"/>
      <c r="FP357" s="1151"/>
      <c r="FQ357" s="1151"/>
      <c r="FR357" s="1151"/>
      <c r="FS357" s="1151"/>
      <c r="FT357" s="1151"/>
      <c r="FU357" s="1151"/>
      <c r="FV357" s="1151"/>
      <c r="FW357" s="1151"/>
      <c r="FX357" s="1151"/>
      <c r="FY357" s="1488"/>
      <c r="FZ357" s="1488"/>
      <c r="GA357" s="1488"/>
      <c r="GB357" s="1485"/>
      <c r="GC357" s="1485"/>
      <c r="GD357" s="1485"/>
      <c r="GE357" s="1485"/>
      <c r="GF357" s="1485"/>
      <c r="GG357" s="1485"/>
      <c r="GH357" s="1485"/>
    </row>
    <row r="358" spans="144:190" s="1295" customFormat="1" x14ac:dyDescent="0.25">
      <c r="EN358" s="1485"/>
      <c r="EO358" s="1485"/>
      <c r="EP358" s="1485"/>
      <c r="EQ358" s="1485"/>
      <c r="ER358" s="1485"/>
      <c r="ES358" s="1485"/>
      <c r="ET358" s="1485"/>
      <c r="EU358" s="1485"/>
      <c r="EV358" s="1485"/>
      <c r="EW358" s="1485"/>
      <c r="EX358" s="1486"/>
      <c r="EY358" s="1486"/>
      <c r="EZ358" s="1487"/>
      <c r="FA358" s="1487"/>
      <c r="FB358" s="1151"/>
      <c r="FC358" s="1151"/>
      <c r="FD358" s="1151"/>
      <c r="FE358" s="1151"/>
      <c r="FF358" s="1151"/>
      <c r="FG358" s="1151"/>
      <c r="FH358" s="1151"/>
      <c r="FI358" s="1151"/>
      <c r="FJ358" s="1151"/>
      <c r="FK358" s="1151"/>
      <c r="FL358" s="1151"/>
      <c r="FM358" s="1151"/>
      <c r="FN358" s="1151"/>
      <c r="FO358" s="1151"/>
      <c r="FP358" s="1151"/>
      <c r="FQ358" s="1151"/>
      <c r="FR358" s="1151"/>
      <c r="FS358" s="1151"/>
      <c r="FT358" s="1151"/>
      <c r="FU358" s="1151"/>
      <c r="FV358" s="1151"/>
      <c r="FW358" s="1151"/>
      <c r="FX358" s="1151"/>
      <c r="FY358" s="1488"/>
      <c r="FZ358" s="1488"/>
      <c r="GA358" s="1488"/>
      <c r="GB358" s="1485"/>
      <c r="GC358" s="1485"/>
      <c r="GD358" s="1485"/>
      <c r="GE358" s="1485"/>
      <c r="GF358" s="1485"/>
      <c r="GG358" s="1485"/>
      <c r="GH358" s="1485"/>
    </row>
    <row r="359" spans="144:190" s="1295" customFormat="1" x14ac:dyDescent="0.25">
      <c r="EN359" s="1485"/>
      <c r="EO359" s="1485"/>
      <c r="EP359" s="1485"/>
      <c r="EQ359" s="1485"/>
      <c r="ER359" s="1485"/>
      <c r="ES359" s="1485"/>
      <c r="ET359" s="1485"/>
      <c r="EU359" s="1485"/>
      <c r="EV359" s="1485"/>
      <c r="EW359" s="1485"/>
      <c r="EX359" s="1486"/>
      <c r="EY359" s="1486"/>
      <c r="EZ359" s="1487"/>
      <c r="FA359" s="1487"/>
      <c r="FB359" s="1151"/>
      <c r="FC359" s="1151"/>
      <c r="FD359" s="1151"/>
      <c r="FE359" s="1151"/>
      <c r="FF359" s="1151"/>
      <c r="FG359" s="1151"/>
      <c r="FH359" s="1151"/>
      <c r="FI359" s="1151"/>
      <c r="FJ359" s="1151"/>
      <c r="FK359" s="1151"/>
      <c r="FL359" s="1151"/>
      <c r="FM359" s="1151"/>
      <c r="FN359" s="1151"/>
      <c r="FO359" s="1151"/>
      <c r="FP359" s="1151"/>
      <c r="FQ359" s="1151"/>
      <c r="FR359" s="1151"/>
      <c r="FS359" s="1151"/>
      <c r="FT359" s="1151"/>
      <c r="FU359" s="1151"/>
      <c r="FV359" s="1151"/>
      <c r="FW359" s="1151"/>
      <c r="FX359" s="1151"/>
      <c r="FY359" s="1488"/>
      <c r="FZ359" s="1488"/>
      <c r="GA359" s="1488"/>
      <c r="GB359" s="1485"/>
      <c r="GC359" s="1485"/>
      <c r="GD359" s="1485"/>
      <c r="GE359" s="1485"/>
      <c r="GF359" s="1485"/>
      <c r="GG359" s="1485"/>
      <c r="GH359" s="1485"/>
    </row>
    <row r="360" spans="144:190" s="1295" customFormat="1" x14ac:dyDescent="0.25">
      <c r="EN360" s="1485"/>
      <c r="EO360" s="1485"/>
      <c r="EP360" s="1485"/>
      <c r="EQ360" s="1485"/>
      <c r="ER360" s="1485"/>
      <c r="ES360" s="1485"/>
      <c r="ET360" s="1485"/>
      <c r="EU360" s="1485"/>
      <c r="EV360" s="1485"/>
      <c r="EW360" s="1485"/>
      <c r="EX360" s="1486"/>
      <c r="EY360" s="1486"/>
      <c r="EZ360" s="1487"/>
      <c r="FA360" s="1487"/>
      <c r="FB360" s="1151"/>
      <c r="FC360" s="1151"/>
      <c r="FD360" s="1151"/>
      <c r="FE360" s="1151"/>
      <c r="FF360" s="1151"/>
      <c r="FG360" s="1151"/>
      <c r="FH360" s="1151"/>
      <c r="FI360" s="1151"/>
      <c r="FJ360" s="1151"/>
      <c r="FK360" s="1151"/>
      <c r="FL360" s="1151"/>
      <c r="FM360" s="1151"/>
      <c r="FN360" s="1151"/>
      <c r="FO360" s="1151"/>
      <c r="FP360" s="1151"/>
      <c r="FQ360" s="1151"/>
      <c r="FR360" s="1151"/>
      <c r="FS360" s="1151"/>
      <c r="FT360" s="1151"/>
      <c r="FU360" s="1151"/>
      <c r="FV360" s="1151"/>
      <c r="FW360" s="1151"/>
      <c r="FX360" s="1151"/>
      <c r="FY360" s="1488"/>
      <c r="FZ360" s="1488"/>
      <c r="GA360" s="1488"/>
      <c r="GB360" s="1485"/>
      <c r="GC360" s="1485"/>
      <c r="GD360" s="1485"/>
      <c r="GE360" s="1485"/>
      <c r="GF360" s="1485"/>
      <c r="GG360" s="1485"/>
      <c r="GH360" s="1485"/>
    </row>
    <row r="361" spans="144:190" s="1295" customFormat="1" x14ac:dyDescent="0.25">
      <c r="EN361" s="1485"/>
      <c r="EO361" s="1485"/>
      <c r="EP361" s="1485"/>
      <c r="EQ361" s="1485"/>
      <c r="ER361" s="1485"/>
      <c r="ES361" s="1485"/>
      <c r="ET361" s="1485"/>
      <c r="EU361" s="1485"/>
      <c r="EV361" s="1485"/>
      <c r="EW361" s="1485"/>
      <c r="EX361" s="1486"/>
      <c r="EY361" s="1486"/>
      <c r="EZ361" s="1487"/>
      <c r="FA361" s="1487"/>
      <c r="FB361" s="1151"/>
      <c r="FC361" s="1151"/>
      <c r="FD361" s="1151"/>
      <c r="FE361" s="1151"/>
      <c r="FF361" s="1151"/>
      <c r="FG361" s="1151"/>
      <c r="FH361" s="1151"/>
      <c r="FI361" s="1151"/>
      <c r="FJ361" s="1151"/>
      <c r="FK361" s="1151"/>
      <c r="FL361" s="1151"/>
      <c r="FM361" s="1151"/>
      <c r="FN361" s="1151"/>
      <c r="FO361" s="1151"/>
      <c r="FP361" s="1151"/>
      <c r="FQ361" s="1151"/>
      <c r="FR361" s="1151"/>
      <c r="FS361" s="1151"/>
      <c r="FT361" s="1151"/>
      <c r="FU361" s="1151"/>
      <c r="FV361" s="1151"/>
      <c r="FW361" s="1151"/>
      <c r="FX361" s="1151"/>
      <c r="FY361" s="1488"/>
      <c r="FZ361" s="1488"/>
      <c r="GA361" s="1488"/>
      <c r="GB361" s="1485"/>
      <c r="GC361" s="1485"/>
      <c r="GD361" s="1485"/>
      <c r="GE361" s="1485"/>
      <c r="GF361" s="1485"/>
      <c r="GG361" s="1485"/>
      <c r="GH361" s="1485"/>
    </row>
    <row r="362" spans="144:190" s="1295" customFormat="1" x14ac:dyDescent="0.25">
      <c r="EN362" s="1485"/>
      <c r="EO362" s="1485"/>
      <c r="EP362" s="1485"/>
      <c r="EQ362" s="1485"/>
      <c r="ER362" s="1485"/>
      <c r="ES362" s="1485"/>
      <c r="ET362" s="1485"/>
      <c r="EU362" s="1485"/>
      <c r="EV362" s="1485"/>
      <c r="EW362" s="1485"/>
      <c r="EX362" s="1486"/>
      <c r="EY362" s="1486"/>
      <c r="EZ362" s="1487"/>
      <c r="FA362" s="1487"/>
      <c r="FB362" s="1151"/>
      <c r="FC362" s="1151"/>
      <c r="FD362" s="1151"/>
      <c r="FE362" s="1151"/>
      <c r="FF362" s="1151"/>
      <c r="FG362" s="1151"/>
      <c r="FH362" s="1151"/>
      <c r="FI362" s="1151"/>
      <c r="FJ362" s="1151"/>
      <c r="FK362" s="1151"/>
      <c r="FL362" s="1151"/>
      <c r="FM362" s="1151"/>
      <c r="FN362" s="1151"/>
      <c r="FO362" s="1151"/>
      <c r="FP362" s="1151"/>
      <c r="FQ362" s="1151"/>
      <c r="FR362" s="1151"/>
      <c r="FS362" s="1151"/>
      <c r="FT362" s="1151"/>
      <c r="FU362" s="1151"/>
      <c r="FV362" s="1151"/>
      <c r="FW362" s="1151"/>
      <c r="FX362" s="1151"/>
      <c r="FY362" s="1488"/>
      <c r="FZ362" s="1488"/>
      <c r="GA362" s="1488"/>
      <c r="GB362" s="1485"/>
      <c r="GC362" s="1485"/>
      <c r="GD362" s="1485"/>
      <c r="GE362" s="1485"/>
      <c r="GF362" s="1485"/>
      <c r="GG362" s="1485"/>
      <c r="GH362" s="1485"/>
    </row>
    <row r="363" spans="144:190" s="1295" customFormat="1" x14ac:dyDescent="0.25">
      <c r="EN363" s="1485"/>
      <c r="EO363" s="1485"/>
      <c r="EP363" s="1485"/>
      <c r="EQ363" s="1485"/>
      <c r="ER363" s="1485"/>
      <c r="ES363" s="1485"/>
      <c r="ET363" s="1485"/>
      <c r="EU363" s="1485"/>
      <c r="EV363" s="1485"/>
      <c r="EW363" s="1485"/>
      <c r="EX363" s="1486"/>
      <c r="EY363" s="1486"/>
      <c r="EZ363" s="1487"/>
      <c r="FA363" s="1487"/>
      <c r="FB363" s="1151"/>
      <c r="FC363" s="1151"/>
      <c r="FD363" s="1151"/>
      <c r="FE363" s="1151"/>
      <c r="FF363" s="1151"/>
      <c r="FG363" s="1151"/>
      <c r="FH363" s="1151"/>
      <c r="FI363" s="1151"/>
      <c r="FJ363" s="1151"/>
      <c r="FK363" s="1151"/>
      <c r="FL363" s="1151"/>
      <c r="FM363" s="1151"/>
      <c r="FN363" s="1151"/>
      <c r="FO363" s="1151"/>
      <c r="FP363" s="1151"/>
      <c r="FQ363" s="1151"/>
      <c r="FR363" s="1151"/>
      <c r="FS363" s="1151"/>
      <c r="FT363" s="1151"/>
      <c r="FU363" s="1151"/>
      <c r="FV363" s="1151"/>
      <c r="FW363" s="1151"/>
      <c r="FX363" s="1151"/>
      <c r="FY363" s="1488"/>
      <c r="FZ363" s="1488"/>
      <c r="GA363" s="1488"/>
      <c r="GB363" s="1485"/>
      <c r="GC363" s="1485"/>
      <c r="GD363" s="1485"/>
      <c r="GE363" s="1485"/>
      <c r="GF363" s="1485"/>
      <c r="GG363" s="1485"/>
      <c r="GH363" s="1485"/>
    </row>
    <row r="364" spans="144:190" s="1295" customFormat="1" x14ac:dyDescent="0.25">
      <c r="EN364" s="1485"/>
      <c r="EO364" s="1485"/>
      <c r="EP364" s="1485"/>
      <c r="EQ364" s="1485"/>
      <c r="ER364" s="1485"/>
      <c r="ES364" s="1485"/>
      <c r="ET364" s="1485"/>
      <c r="EU364" s="1485"/>
      <c r="EV364" s="1485"/>
      <c r="EW364" s="1485"/>
      <c r="EX364" s="1486"/>
      <c r="EY364" s="1486"/>
      <c r="EZ364" s="1487"/>
      <c r="FA364" s="1487"/>
      <c r="FB364" s="1151"/>
      <c r="FC364" s="1151"/>
      <c r="FD364" s="1151"/>
      <c r="FE364" s="1151"/>
      <c r="FF364" s="1151"/>
      <c r="FG364" s="1151"/>
      <c r="FH364" s="1151"/>
      <c r="FI364" s="1151"/>
      <c r="FJ364" s="1151"/>
      <c r="FK364" s="1151"/>
      <c r="FL364" s="1151"/>
      <c r="FM364" s="1151"/>
      <c r="FN364" s="1151"/>
      <c r="FO364" s="1151"/>
      <c r="FP364" s="1151"/>
      <c r="FQ364" s="1151"/>
      <c r="FR364" s="1151"/>
      <c r="FS364" s="1151"/>
      <c r="FT364" s="1151"/>
      <c r="FU364" s="1151"/>
      <c r="FV364" s="1151"/>
      <c r="FW364" s="1151"/>
      <c r="FX364" s="1151"/>
      <c r="FY364" s="1488"/>
      <c r="FZ364" s="1488"/>
      <c r="GA364" s="1488"/>
      <c r="GB364" s="1485"/>
      <c r="GC364" s="1485"/>
      <c r="GD364" s="1485"/>
      <c r="GE364" s="1485"/>
      <c r="GF364" s="1485"/>
      <c r="GG364" s="1485"/>
      <c r="GH364" s="1485"/>
    </row>
    <row r="365" spans="144:190" s="1295" customFormat="1" x14ac:dyDescent="0.25">
      <c r="EN365" s="1485"/>
      <c r="EO365" s="1485"/>
      <c r="EP365" s="1485"/>
      <c r="EQ365" s="1485"/>
      <c r="ER365" s="1485"/>
      <c r="ES365" s="1485"/>
      <c r="ET365" s="1485"/>
      <c r="EU365" s="1485"/>
      <c r="EV365" s="1485"/>
      <c r="EW365" s="1485"/>
      <c r="EX365" s="1486"/>
      <c r="EY365" s="1486"/>
      <c r="EZ365" s="1487"/>
      <c r="FA365" s="1487"/>
      <c r="FB365" s="1151"/>
      <c r="FC365" s="1151"/>
      <c r="FD365" s="1151"/>
      <c r="FE365" s="1151"/>
      <c r="FF365" s="1151"/>
      <c r="FG365" s="1151"/>
      <c r="FH365" s="1151"/>
      <c r="FI365" s="1151"/>
      <c r="FJ365" s="1151"/>
      <c r="FK365" s="1151"/>
      <c r="FL365" s="1151"/>
      <c r="FM365" s="1151"/>
      <c r="FN365" s="1151"/>
      <c r="FO365" s="1151"/>
      <c r="FP365" s="1151"/>
      <c r="FQ365" s="1151"/>
      <c r="FR365" s="1151"/>
      <c r="FS365" s="1151"/>
      <c r="FT365" s="1151"/>
      <c r="FU365" s="1151"/>
      <c r="FV365" s="1151"/>
      <c r="FW365" s="1151"/>
      <c r="FX365" s="1151"/>
      <c r="FY365" s="1488"/>
      <c r="FZ365" s="1488"/>
      <c r="GA365" s="1488"/>
      <c r="GB365" s="1485"/>
      <c r="GC365" s="1485"/>
      <c r="GD365" s="1485"/>
      <c r="GE365" s="1485"/>
      <c r="GF365" s="1485"/>
      <c r="GG365" s="1485"/>
      <c r="GH365" s="1485"/>
    </row>
    <row r="366" spans="144:190" s="1295" customFormat="1" x14ac:dyDescent="0.25">
      <c r="EN366" s="1485"/>
      <c r="EO366" s="1485"/>
      <c r="EP366" s="1485"/>
      <c r="EQ366" s="1485"/>
      <c r="ER366" s="1485"/>
      <c r="ES366" s="1485"/>
      <c r="ET366" s="1485"/>
      <c r="EU366" s="1485"/>
      <c r="EV366" s="1485"/>
      <c r="EW366" s="1485"/>
      <c r="EX366" s="1486"/>
      <c r="EY366" s="1486"/>
      <c r="EZ366" s="1487"/>
      <c r="FA366" s="1487"/>
      <c r="FB366" s="1151"/>
      <c r="FC366" s="1151"/>
      <c r="FD366" s="1151"/>
      <c r="FE366" s="1151"/>
      <c r="FF366" s="1151"/>
      <c r="FG366" s="1151"/>
      <c r="FH366" s="1151"/>
      <c r="FI366" s="1151"/>
      <c r="FJ366" s="1151"/>
      <c r="FK366" s="1151"/>
      <c r="FL366" s="1151"/>
      <c r="FM366" s="1151"/>
      <c r="FN366" s="1151"/>
      <c r="FO366" s="1151"/>
      <c r="FP366" s="1151"/>
      <c r="FQ366" s="1151"/>
      <c r="FR366" s="1151"/>
      <c r="FS366" s="1151"/>
      <c r="FT366" s="1151"/>
      <c r="FU366" s="1151"/>
      <c r="FV366" s="1151"/>
      <c r="FW366" s="1151"/>
      <c r="FX366" s="1151"/>
      <c r="FY366" s="1488"/>
      <c r="FZ366" s="1488"/>
      <c r="GA366" s="1488"/>
      <c r="GB366" s="1485"/>
      <c r="GC366" s="1485"/>
      <c r="GD366" s="1485"/>
      <c r="GE366" s="1485"/>
      <c r="GF366" s="1485"/>
      <c r="GG366" s="1485"/>
      <c r="GH366" s="1485"/>
    </row>
    <row r="367" spans="144:190" s="1295" customFormat="1" x14ac:dyDescent="0.25">
      <c r="EN367" s="1485"/>
      <c r="EO367" s="1485"/>
      <c r="EP367" s="1485"/>
      <c r="EQ367" s="1485"/>
      <c r="ER367" s="1485"/>
      <c r="ES367" s="1485"/>
      <c r="ET367" s="1485"/>
      <c r="EU367" s="1485"/>
      <c r="EV367" s="1485"/>
      <c r="EW367" s="1485"/>
      <c r="EX367" s="1486"/>
      <c r="EY367" s="1486"/>
      <c r="EZ367" s="1487"/>
      <c r="FA367" s="1487"/>
      <c r="FB367" s="1151"/>
      <c r="FC367" s="1151"/>
      <c r="FD367" s="1151"/>
      <c r="FE367" s="1151"/>
      <c r="FF367" s="1151"/>
      <c r="FG367" s="1151"/>
      <c r="FH367" s="1151"/>
      <c r="FI367" s="1151"/>
      <c r="FJ367" s="1151"/>
      <c r="FK367" s="1151"/>
      <c r="FL367" s="1151"/>
      <c r="FM367" s="1151"/>
      <c r="FN367" s="1151"/>
      <c r="FO367" s="1151"/>
      <c r="FP367" s="1151"/>
      <c r="FQ367" s="1151"/>
      <c r="FR367" s="1151"/>
      <c r="FS367" s="1151"/>
      <c r="FT367" s="1151"/>
      <c r="FU367" s="1151"/>
      <c r="FV367" s="1151"/>
      <c r="FW367" s="1151"/>
      <c r="FX367" s="1151"/>
      <c r="FY367" s="1488"/>
      <c r="FZ367" s="1488"/>
      <c r="GA367" s="1488"/>
      <c r="GB367" s="1485"/>
      <c r="GC367" s="1485"/>
      <c r="GD367" s="1485"/>
      <c r="GE367" s="1485"/>
      <c r="GF367" s="1485"/>
      <c r="GG367" s="1485"/>
      <c r="GH367" s="1485"/>
    </row>
    <row r="368" spans="144:190" s="1295" customFormat="1" x14ac:dyDescent="0.25">
      <c r="EN368" s="1485"/>
      <c r="EO368" s="1485"/>
      <c r="EP368" s="1485"/>
      <c r="EQ368" s="1485"/>
      <c r="ER368" s="1485"/>
      <c r="ES368" s="1485"/>
      <c r="ET368" s="1485"/>
      <c r="EU368" s="1485"/>
      <c r="EV368" s="1485"/>
      <c r="EW368" s="1485"/>
      <c r="EX368" s="1486"/>
      <c r="EY368" s="1486"/>
      <c r="EZ368" s="1487"/>
      <c r="FA368" s="1487"/>
      <c r="FB368" s="1151"/>
      <c r="FC368" s="1151"/>
      <c r="FD368" s="1151"/>
      <c r="FE368" s="1151"/>
      <c r="FF368" s="1151"/>
      <c r="FG368" s="1151"/>
      <c r="FH368" s="1151"/>
      <c r="FI368" s="1151"/>
      <c r="FJ368" s="1151"/>
      <c r="FK368" s="1151"/>
      <c r="FL368" s="1151"/>
      <c r="FM368" s="1151"/>
      <c r="FN368" s="1151"/>
      <c r="FO368" s="1151"/>
      <c r="FP368" s="1151"/>
      <c r="FQ368" s="1151"/>
      <c r="FR368" s="1151"/>
      <c r="FS368" s="1151"/>
      <c r="FT368" s="1151"/>
      <c r="FU368" s="1151"/>
      <c r="FV368" s="1151"/>
      <c r="FW368" s="1151"/>
      <c r="FX368" s="1151"/>
      <c r="FY368" s="1488"/>
      <c r="FZ368" s="1488"/>
      <c r="GA368" s="1488"/>
      <c r="GB368" s="1485"/>
      <c r="GC368" s="1485"/>
      <c r="GD368" s="1485"/>
      <c r="GE368" s="1485"/>
      <c r="GF368" s="1485"/>
      <c r="GG368" s="1485"/>
      <c r="GH368" s="1485"/>
    </row>
    <row r="369" spans="144:190" s="1295" customFormat="1" x14ac:dyDescent="0.25">
      <c r="EN369" s="1485"/>
      <c r="EO369" s="1485"/>
      <c r="EP369" s="1485"/>
      <c r="EQ369" s="1485"/>
      <c r="ER369" s="1485"/>
      <c r="ES369" s="1485"/>
      <c r="ET369" s="1485"/>
      <c r="EU369" s="1485"/>
      <c r="EV369" s="1485"/>
      <c r="EW369" s="1485"/>
      <c r="EX369" s="1486"/>
      <c r="EY369" s="1486"/>
      <c r="EZ369" s="1487"/>
      <c r="FA369" s="1487"/>
      <c r="FB369" s="1151"/>
      <c r="FC369" s="1151"/>
      <c r="FD369" s="1151"/>
      <c r="FE369" s="1151"/>
      <c r="FF369" s="1151"/>
      <c r="FG369" s="1151"/>
      <c r="FH369" s="1151"/>
      <c r="FI369" s="1151"/>
      <c r="FJ369" s="1151"/>
      <c r="FK369" s="1151"/>
      <c r="FL369" s="1151"/>
      <c r="FM369" s="1151"/>
      <c r="FN369" s="1151"/>
      <c r="FO369" s="1151"/>
      <c r="FP369" s="1151"/>
      <c r="FQ369" s="1151"/>
      <c r="FR369" s="1151"/>
      <c r="FS369" s="1151"/>
      <c r="FT369" s="1151"/>
      <c r="FU369" s="1151"/>
      <c r="FV369" s="1151"/>
      <c r="FW369" s="1151"/>
      <c r="FX369" s="1151"/>
      <c r="FY369" s="1488"/>
      <c r="FZ369" s="1488"/>
      <c r="GA369" s="1488"/>
      <c r="GB369" s="1485"/>
      <c r="GC369" s="1485"/>
      <c r="GD369" s="1485"/>
      <c r="GE369" s="1485"/>
      <c r="GF369" s="1485"/>
      <c r="GG369" s="1485"/>
      <c r="GH369" s="1485"/>
    </row>
    <row r="370" spans="144:190" s="1295" customFormat="1" x14ac:dyDescent="0.25">
      <c r="EN370" s="1485"/>
      <c r="EO370" s="1485"/>
      <c r="EP370" s="1485"/>
      <c r="EQ370" s="1485"/>
      <c r="ER370" s="1485"/>
      <c r="ES370" s="1485"/>
      <c r="ET370" s="1485"/>
      <c r="EU370" s="1485"/>
      <c r="EV370" s="1485"/>
      <c r="EW370" s="1485"/>
      <c r="EX370" s="1486"/>
      <c r="EY370" s="1486"/>
      <c r="EZ370" s="1487"/>
      <c r="FA370" s="1487"/>
      <c r="FB370" s="1151"/>
      <c r="FC370" s="1151"/>
      <c r="FD370" s="1151"/>
      <c r="FE370" s="1151"/>
      <c r="FF370" s="1151"/>
      <c r="FG370" s="1151"/>
      <c r="FH370" s="1151"/>
      <c r="FI370" s="1151"/>
      <c r="FJ370" s="1151"/>
      <c r="FK370" s="1151"/>
      <c r="FL370" s="1151"/>
      <c r="FM370" s="1151"/>
      <c r="FN370" s="1151"/>
      <c r="FO370" s="1151"/>
      <c r="FP370" s="1151"/>
      <c r="FQ370" s="1151"/>
      <c r="FR370" s="1151"/>
      <c r="FS370" s="1151"/>
      <c r="FT370" s="1151"/>
      <c r="FU370" s="1151"/>
      <c r="FV370" s="1151"/>
      <c r="FW370" s="1151"/>
      <c r="FX370" s="1151"/>
      <c r="FY370" s="1488"/>
      <c r="FZ370" s="1488"/>
      <c r="GA370" s="1488"/>
      <c r="GB370" s="1485"/>
      <c r="GC370" s="1485"/>
      <c r="GD370" s="1485"/>
      <c r="GE370" s="1485"/>
      <c r="GF370" s="1485"/>
      <c r="GG370" s="1485"/>
      <c r="GH370" s="1485"/>
    </row>
    <row r="371" spans="144:190" s="1295" customFormat="1" x14ac:dyDescent="0.25">
      <c r="EN371" s="1485"/>
      <c r="EO371" s="1485"/>
      <c r="EP371" s="1485"/>
      <c r="EQ371" s="1485"/>
      <c r="ER371" s="1485"/>
      <c r="ES371" s="1485"/>
      <c r="ET371" s="1485"/>
      <c r="EU371" s="1485"/>
      <c r="EV371" s="1485"/>
      <c r="EW371" s="1485"/>
      <c r="EX371" s="1486"/>
      <c r="EY371" s="1486"/>
      <c r="EZ371" s="1487"/>
      <c r="FA371" s="1487"/>
      <c r="FB371" s="1151"/>
      <c r="FC371" s="1151"/>
      <c r="FD371" s="1151"/>
      <c r="FE371" s="1151"/>
      <c r="FF371" s="1151"/>
      <c r="FG371" s="1151"/>
      <c r="FH371" s="1151"/>
      <c r="FI371" s="1151"/>
      <c r="FJ371" s="1151"/>
      <c r="FK371" s="1151"/>
      <c r="FL371" s="1151"/>
      <c r="FM371" s="1151"/>
      <c r="FN371" s="1151"/>
      <c r="FO371" s="1151"/>
      <c r="FP371" s="1151"/>
      <c r="FQ371" s="1151"/>
      <c r="FR371" s="1151"/>
      <c r="FS371" s="1151"/>
      <c r="FT371" s="1151"/>
      <c r="FU371" s="1151"/>
      <c r="FV371" s="1151"/>
      <c r="FW371" s="1151"/>
      <c r="FX371" s="1151"/>
      <c r="FY371" s="1488"/>
      <c r="FZ371" s="1488"/>
      <c r="GA371" s="1488"/>
      <c r="GB371" s="1485"/>
      <c r="GC371" s="1485"/>
      <c r="GD371" s="1485"/>
      <c r="GE371" s="1485"/>
      <c r="GF371" s="1485"/>
      <c r="GG371" s="1485"/>
      <c r="GH371" s="1485"/>
    </row>
    <row r="372" spans="144:190" s="1295" customFormat="1" x14ac:dyDescent="0.25">
      <c r="EN372" s="1485"/>
      <c r="EO372" s="1485"/>
      <c r="EP372" s="1485"/>
      <c r="EQ372" s="1485"/>
      <c r="ER372" s="1485"/>
      <c r="ES372" s="1485"/>
      <c r="ET372" s="1485"/>
      <c r="EU372" s="1485"/>
      <c r="EV372" s="1485"/>
      <c r="EW372" s="1485"/>
      <c r="EX372" s="1486"/>
      <c r="EY372" s="1486"/>
      <c r="EZ372" s="1487"/>
      <c r="FA372" s="1487"/>
      <c r="FB372" s="1151"/>
      <c r="FC372" s="1151"/>
      <c r="FD372" s="1151"/>
      <c r="FE372" s="1151"/>
      <c r="FF372" s="1151"/>
      <c r="FG372" s="1151"/>
      <c r="FH372" s="1151"/>
      <c r="FI372" s="1151"/>
      <c r="FJ372" s="1151"/>
      <c r="FK372" s="1151"/>
      <c r="FL372" s="1151"/>
      <c r="FM372" s="1151"/>
      <c r="FN372" s="1151"/>
      <c r="FO372" s="1151"/>
      <c r="FP372" s="1151"/>
      <c r="FQ372" s="1151"/>
      <c r="FR372" s="1151"/>
      <c r="FS372" s="1151"/>
      <c r="FT372" s="1151"/>
      <c r="FU372" s="1151"/>
      <c r="FV372" s="1151"/>
      <c r="FW372" s="1151"/>
      <c r="FX372" s="1151"/>
      <c r="FY372" s="1488"/>
      <c r="FZ372" s="1488"/>
      <c r="GA372" s="1488"/>
      <c r="GB372" s="1485"/>
      <c r="GC372" s="1485"/>
      <c r="GD372" s="1485"/>
      <c r="GE372" s="1485"/>
      <c r="GF372" s="1485"/>
      <c r="GG372" s="1485"/>
      <c r="GH372" s="1485"/>
    </row>
    <row r="373" spans="144:190" s="1295" customFormat="1" x14ac:dyDescent="0.25">
      <c r="EN373" s="1485"/>
      <c r="EO373" s="1485"/>
      <c r="EP373" s="1485"/>
      <c r="EQ373" s="1485"/>
      <c r="ER373" s="1485"/>
      <c r="ES373" s="1485"/>
      <c r="ET373" s="1485"/>
      <c r="EU373" s="1485"/>
      <c r="EV373" s="1485"/>
      <c r="EW373" s="1485"/>
      <c r="EX373" s="1486"/>
      <c r="EY373" s="1486"/>
      <c r="EZ373" s="1487"/>
      <c r="FA373" s="1487"/>
      <c r="FB373" s="1151"/>
      <c r="FC373" s="1151"/>
      <c r="FD373" s="1151"/>
      <c r="FE373" s="1151"/>
      <c r="FF373" s="1151"/>
      <c r="FG373" s="1151"/>
      <c r="FH373" s="1151"/>
      <c r="FI373" s="1151"/>
      <c r="FJ373" s="1151"/>
      <c r="FK373" s="1151"/>
      <c r="FL373" s="1151"/>
      <c r="FM373" s="1151"/>
      <c r="FN373" s="1151"/>
      <c r="FO373" s="1151"/>
      <c r="FP373" s="1151"/>
      <c r="FQ373" s="1151"/>
      <c r="FR373" s="1151"/>
      <c r="FS373" s="1151"/>
      <c r="FT373" s="1151"/>
      <c r="FU373" s="1151"/>
      <c r="FV373" s="1151"/>
      <c r="FW373" s="1151"/>
      <c r="FX373" s="1151"/>
      <c r="FY373" s="1488"/>
      <c r="FZ373" s="1488"/>
      <c r="GA373" s="1488"/>
      <c r="GB373" s="1485"/>
      <c r="GC373" s="1485"/>
      <c r="GD373" s="1485"/>
      <c r="GE373" s="1485"/>
      <c r="GF373" s="1485"/>
      <c r="GG373" s="1485"/>
      <c r="GH373" s="1485"/>
    </row>
    <row r="374" spans="144:190" s="1295" customFormat="1" x14ac:dyDescent="0.25">
      <c r="EN374" s="1485"/>
      <c r="EO374" s="1485"/>
      <c r="EP374" s="1485"/>
      <c r="EQ374" s="1485"/>
      <c r="ER374" s="1485"/>
      <c r="ES374" s="1485"/>
      <c r="ET374" s="1485"/>
      <c r="EU374" s="1485"/>
      <c r="EV374" s="1485"/>
      <c r="EW374" s="1485"/>
      <c r="EX374" s="1486"/>
      <c r="EY374" s="1486"/>
      <c r="EZ374" s="1487"/>
      <c r="FA374" s="1487"/>
      <c r="FB374" s="1151"/>
      <c r="FC374" s="1151"/>
      <c r="FD374" s="1151"/>
      <c r="FE374" s="1151"/>
      <c r="FF374" s="1151"/>
      <c r="FG374" s="1151"/>
      <c r="FH374" s="1151"/>
      <c r="FI374" s="1151"/>
      <c r="FJ374" s="1151"/>
      <c r="FK374" s="1151"/>
      <c r="FL374" s="1151"/>
      <c r="FM374" s="1151"/>
      <c r="FN374" s="1151"/>
      <c r="FO374" s="1151"/>
      <c r="FP374" s="1151"/>
      <c r="FQ374" s="1151"/>
      <c r="FR374" s="1151"/>
      <c r="FS374" s="1151"/>
      <c r="FT374" s="1151"/>
      <c r="FU374" s="1151"/>
      <c r="FV374" s="1151"/>
      <c r="FW374" s="1151"/>
      <c r="FX374" s="1151"/>
      <c r="FY374" s="1488"/>
      <c r="FZ374" s="1488"/>
      <c r="GA374" s="1488"/>
      <c r="GB374" s="1485"/>
      <c r="GC374" s="1485"/>
      <c r="GD374" s="1485"/>
      <c r="GE374" s="1485"/>
      <c r="GF374" s="1485"/>
      <c r="GG374" s="1485"/>
      <c r="GH374" s="1485"/>
    </row>
    <row r="375" spans="144:190" s="1295" customFormat="1" x14ac:dyDescent="0.25">
      <c r="EN375" s="1485"/>
      <c r="EO375" s="1485"/>
      <c r="EP375" s="1485"/>
      <c r="EQ375" s="1485"/>
      <c r="ER375" s="1485"/>
      <c r="ES375" s="1485"/>
      <c r="ET375" s="1485"/>
      <c r="EU375" s="1485"/>
      <c r="EV375" s="1485"/>
      <c r="EW375" s="1485"/>
      <c r="EX375" s="1486"/>
      <c r="EY375" s="1486"/>
      <c r="EZ375" s="1487"/>
      <c r="FA375" s="1487"/>
      <c r="FB375" s="1151"/>
      <c r="FC375" s="1151"/>
      <c r="FD375" s="1151"/>
      <c r="FE375" s="1151"/>
      <c r="FF375" s="1151"/>
      <c r="FG375" s="1151"/>
      <c r="FH375" s="1151"/>
      <c r="FI375" s="1151"/>
      <c r="FJ375" s="1151"/>
      <c r="FK375" s="1151"/>
      <c r="FL375" s="1151"/>
      <c r="FM375" s="1151"/>
      <c r="FN375" s="1151"/>
      <c r="FO375" s="1151"/>
      <c r="FP375" s="1151"/>
      <c r="FQ375" s="1151"/>
      <c r="FR375" s="1151"/>
      <c r="FS375" s="1151"/>
      <c r="FT375" s="1151"/>
      <c r="FU375" s="1151"/>
      <c r="FV375" s="1151"/>
      <c r="FW375" s="1151"/>
      <c r="FX375" s="1151"/>
      <c r="FY375" s="1488"/>
      <c r="FZ375" s="1488"/>
      <c r="GA375" s="1488"/>
      <c r="GB375" s="1485"/>
      <c r="GC375" s="1485"/>
      <c r="GD375" s="1485"/>
      <c r="GE375" s="1485"/>
      <c r="GF375" s="1485"/>
      <c r="GG375" s="1485"/>
      <c r="GH375" s="1485"/>
    </row>
    <row r="376" spans="144:190" s="1295" customFormat="1" x14ac:dyDescent="0.25">
      <c r="EN376" s="1485"/>
      <c r="EO376" s="1485"/>
      <c r="EP376" s="1485"/>
      <c r="EQ376" s="1485"/>
      <c r="ER376" s="1485"/>
      <c r="ES376" s="1485"/>
      <c r="ET376" s="1485"/>
      <c r="EU376" s="1485"/>
      <c r="EV376" s="1485"/>
      <c r="EW376" s="1485"/>
      <c r="EX376" s="1486"/>
      <c r="EY376" s="1486"/>
      <c r="EZ376" s="1487"/>
      <c r="FA376" s="1487"/>
      <c r="FB376" s="1151"/>
      <c r="FC376" s="1151"/>
      <c r="FD376" s="1151"/>
      <c r="FE376" s="1151"/>
      <c r="FF376" s="1151"/>
      <c r="FG376" s="1151"/>
      <c r="FH376" s="1151"/>
      <c r="FI376" s="1151"/>
      <c r="FJ376" s="1151"/>
      <c r="FK376" s="1151"/>
      <c r="FL376" s="1151"/>
      <c r="FM376" s="1151"/>
      <c r="FN376" s="1151"/>
      <c r="FO376" s="1151"/>
      <c r="FP376" s="1151"/>
      <c r="FQ376" s="1151"/>
      <c r="FR376" s="1151"/>
      <c r="FS376" s="1151"/>
      <c r="FT376" s="1151"/>
      <c r="FU376" s="1151"/>
      <c r="FV376" s="1151"/>
      <c r="FW376" s="1151"/>
      <c r="FX376" s="1151"/>
      <c r="FY376" s="1488"/>
      <c r="FZ376" s="1488"/>
      <c r="GA376" s="1488"/>
      <c r="GB376" s="1485"/>
      <c r="GC376" s="1485"/>
      <c r="GD376" s="1485"/>
      <c r="GE376" s="1485"/>
      <c r="GF376" s="1485"/>
      <c r="GG376" s="1485"/>
      <c r="GH376" s="1485"/>
    </row>
    <row r="377" spans="144:190" s="1295" customFormat="1" x14ac:dyDescent="0.25">
      <c r="EN377" s="1485"/>
      <c r="EO377" s="1485"/>
      <c r="EP377" s="1485"/>
      <c r="EQ377" s="1485"/>
      <c r="ER377" s="1485"/>
      <c r="ES377" s="1485"/>
      <c r="ET377" s="1485"/>
      <c r="EU377" s="1485"/>
      <c r="EV377" s="1485"/>
      <c r="EW377" s="1485"/>
      <c r="EX377" s="1486"/>
      <c r="EY377" s="1486"/>
      <c r="EZ377" s="1487"/>
      <c r="FA377" s="1487"/>
      <c r="FB377" s="1151"/>
      <c r="FC377" s="1151"/>
      <c r="FD377" s="1151"/>
      <c r="FE377" s="1151"/>
      <c r="FF377" s="1151"/>
      <c r="FG377" s="1151"/>
      <c r="FH377" s="1151"/>
      <c r="FI377" s="1151"/>
      <c r="FJ377" s="1151"/>
      <c r="FK377" s="1151"/>
      <c r="FL377" s="1151"/>
      <c r="FM377" s="1151"/>
      <c r="FN377" s="1151"/>
      <c r="FO377" s="1151"/>
      <c r="FP377" s="1151"/>
      <c r="FQ377" s="1151"/>
      <c r="FR377" s="1151"/>
      <c r="FS377" s="1151"/>
      <c r="FT377" s="1151"/>
      <c r="FU377" s="1151"/>
      <c r="FV377" s="1151"/>
      <c r="FW377" s="1151"/>
      <c r="FX377" s="1151"/>
      <c r="FY377" s="1488"/>
      <c r="FZ377" s="1488"/>
      <c r="GA377" s="1488"/>
      <c r="GB377" s="1485"/>
      <c r="GC377" s="1485"/>
      <c r="GD377" s="1485"/>
      <c r="GE377" s="1485"/>
      <c r="GF377" s="1485"/>
      <c r="GG377" s="1485"/>
      <c r="GH377" s="1485"/>
    </row>
    <row r="378" spans="144:190" s="1295" customFormat="1" x14ac:dyDescent="0.25">
      <c r="EN378" s="1485"/>
      <c r="EO378" s="1485"/>
      <c r="EP378" s="1485"/>
      <c r="EQ378" s="1485"/>
      <c r="ER378" s="1485"/>
      <c r="ES378" s="1485"/>
      <c r="ET378" s="1485"/>
      <c r="EU378" s="1485"/>
      <c r="EV378" s="1485"/>
      <c r="EW378" s="1485"/>
      <c r="EX378" s="1486"/>
      <c r="EY378" s="1486"/>
      <c r="EZ378" s="1487"/>
      <c r="FA378" s="1487"/>
      <c r="FB378" s="1151"/>
      <c r="FC378" s="1151"/>
      <c r="FD378" s="1151"/>
      <c r="FE378" s="1151"/>
      <c r="FF378" s="1151"/>
      <c r="FG378" s="1151"/>
      <c r="FH378" s="1151"/>
      <c r="FI378" s="1151"/>
      <c r="FJ378" s="1151"/>
      <c r="FK378" s="1151"/>
      <c r="FL378" s="1151"/>
      <c r="FM378" s="1151"/>
      <c r="FN378" s="1151"/>
      <c r="FO378" s="1151"/>
      <c r="FP378" s="1151"/>
      <c r="FQ378" s="1151"/>
      <c r="FR378" s="1151"/>
      <c r="FS378" s="1151"/>
      <c r="FT378" s="1151"/>
      <c r="FU378" s="1151"/>
      <c r="FV378" s="1151"/>
      <c r="FW378" s="1151"/>
      <c r="FX378" s="1151"/>
      <c r="FY378" s="1488"/>
      <c r="FZ378" s="1488"/>
      <c r="GA378" s="1488"/>
      <c r="GB378" s="1485"/>
      <c r="GC378" s="1485"/>
      <c r="GD378" s="1485"/>
      <c r="GE378" s="1485"/>
      <c r="GF378" s="1485"/>
      <c r="GG378" s="1485"/>
      <c r="GH378" s="1485"/>
    </row>
    <row r="379" spans="144:190" s="1295" customFormat="1" x14ac:dyDescent="0.25">
      <c r="EN379" s="1485"/>
      <c r="EO379" s="1485"/>
      <c r="EP379" s="1485"/>
      <c r="EQ379" s="1485"/>
      <c r="ER379" s="1485"/>
      <c r="ES379" s="1485"/>
      <c r="ET379" s="1485"/>
      <c r="EU379" s="1485"/>
      <c r="EV379" s="1485"/>
      <c r="EW379" s="1485"/>
      <c r="EX379" s="1486"/>
      <c r="EY379" s="1486"/>
      <c r="EZ379" s="1487"/>
      <c r="FA379" s="1487"/>
      <c r="FB379" s="1151"/>
      <c r="FC379" s="1151"/>
      <c r="FD379" s="1151"/>
      <c r="FE379" s="1151"/>
      <c r="FF379" s="1151"/>
      <c r="FG379" s="1151"/>
      <c r="FH379" s="1151"/>
      <c r="FI379" s="1151"/>
      <c r="FJ379" s="1151"/>
      <c r="FK379" s="1151"/>
      <c r="FL379" s="1151"/>
      <c r="FM379" s="1151"/>
      <c r="FN379" s="1151"/>
      <c r="FO379" s="1151"/>
      <c r="FP379" s="1151"/>
      <c r="FQ379" s="1151"/>
      <c r="FR379" s="1151"/>
      <c r="FS379" s="1151"/>
      <c r="FT379" s="1151"/>
      <c r="FU379" s="1151"/>
      <c r="FV379" s="1151"/>
      <c r="FW379" s="1151"/>
      <c r="FX379" s="1151"/>
      <c r="FY379" s="1488"/>
      <c r="FZ379" s="1488"/>
      <c r="GA379" s="1488"/>
      <c r="GB379" s="1485"/>
      <c r="GC379" s="1485"/>
      <c r="GD379" s="1485"/>
      <c r="GE379" s="1485"/>
      <c r="GF379" s="1485"/>
      <c r="GG379" s="1485"/>
      <c r="GH379" s="1485"/>
    </row>
    <row r="380" spans="144:190" s="1295" customFormat="1" x14ac:dyDescent="0.25">
      <c r="EN380" s="1485"/>
      <c r="EO380" s="1485"/>
      <c r="EP380" s="1485"/>
      <c r="EQ380" s="1485"/>
      <c r="ER380" s="1485"/>
      <c r="ES380" s="1485"/>
      <c r="ET380" s="1485"/>
      <c r="EU380" s="1485"/>
      <c r="EV380" s="1485"/>
      <c r="EW380" s="1485"/>
      <c r="EX380" s="1486"/>
      <c r="EY380" s="1486"/>
      <c r="EZ380" s="1487"/>
      <c r="FA380" s="1487"/>
      <c r="FB380" s="1151"/>
      <c r="FC380" s="1151"/>
      <c r="FD380" s="1151"/>
      <c r="FE380" s="1151"/>
      <c r="FF380" s="1151"/>
      <c r="FG380" s="1151"/>
      <c r="FH380" s="1151"/>
      <c r="FI380" s="1151"/>
      <c r="FJ380" s="1151"/>
      <c r="FK380" s="1151"/>
      <c r="FL380" s="1151"/>
      <c r="FM380" s="1151"/>
      <c r="FN380" s="1151"/>
      <c r="FO380" s="1151"/>
      <c r="FP380" s="1151"/>
      <c r="FQ380" s="1151"/>
      <c r="FR380" s="1151"/>
      <c r="FS380" s="1151"/>
      <c r="FT380" s="1151"/>
      <c r="FU380" s="1151"/>
      <c r="FV380" s="1151"/>
      <c r="FW380" s="1151"/>
      <c r="FX380" s="1151"/>
      <c r="FY380" s="1488"/>
      <c r="FZ380" s="1488"/>
      <c r="GA380" s="1488"/>
      <c r="GB380" s="1485"/>
      <c r="GC380" s="1485"/>
      <c r="GD380" s="1485"/>
      <c r="GE380" s="1485"/>
      <c r="GF380" s="1485"/>
      <c r="GG380" s="1485"/>
      <c r="GH380" s="1485"/>
    </row>
    <row r="381" spans="144:190" s="1295" customFormat="1" x14ac:dyDescent="0.25">
      <c r="EN381" s="1485"/>
      <c r="EO381" s="1485"/>
      <c r="EP381" s="1485"/>
      <c r="EQ381" s="1485"/>
      <c r="ER381" s="1485"/>
      <c r="ES381" s="1485"/>
      <c r="ET381" s="1485"/>
      <c r="EU381" s="1485"/>
      <c r="EV381" s="1485"/>
      <c r="EW381" s="1485"/>
      <c r="EX381" s="1486"/>
      <c r="EY381" s="1486"/>
      <c r="EZ381" s="1487"/>
      <c r="FA381" s="1487"/>
      <c r="FB381" s="1151"/>
      <c r="FC381" s="1151"/>
      <c r="FD381" s="1151"/>
      <c r="FE381" s="1151"/>
      <c r="FF381" s="1151"/>
      <c r="FG381" s="1151"/>
      <c r="FH381" s="1151"/>
      <c r="FI381" s="1151"/>
      <c r="FJ381" s="1151"/>
      <c r="FK381" s="1151"/>
      <c r="FL381" s="1151"/>
      <c r="FM381" s="1151"/>
      <c r="FN381" s="1151"/>
      <c r="FO381" s="1151"/>
      <c r="FP381" s="1151"/>
      <c r="FQ381" s="1151"/>
      <c r="FR381" s="1151"/>
      <c r="FS381" s="1151"/>
      <c r="FT381" s="1151"/>
      <c r="FU381" s="1151"/>
      <c r="FV381" s="1151"/>
      <c r="FW381" s="1151"/>
      <c r="FX381" s="1151"/>
      <c r="FY381" s="1488"/>
      <c r="FZ381" s="1488"/>
      <c r="GA381" s="1488"/>
      <c r="GB381" s="1485"/>
      <c r="GC381" s="1485"/>
      <c r="GD381" s="1485"/>
      <c r="GE381" s="1485"/>
      <c r="GF381" s="1485"/>
      <c r="GG381" s="1485"/>
      <c r="GH381" s="1485"/>
    </row>
    <row r="382" spans="144:190" s="1295" customFormat="1" x14ac:dyDescent="0.25">
      <c r="EN382" s="1485"/>
      <c r="EO382" s="1485"/>
      <c r="EP382" s="1485"/>
      <c r="EQ382" s="1485"/>
      <c r="ER382" s="1485"/>
      <c r="ES382" s="1485"/>
      <c r="ET382" s="1485"/>
      <c r="EU382" s="1485"/>
      <c r="EV382" s="1485"/>
      <c r="EW382" s="1485"/>
      <c r="EX382" s="1486"/>
      <c r="EY382" s="1486"/>
      <c r="EZ382" s="1487"/>
      <c r="FA382" s="1487"/>
      <c r="FB382" s="1151"/>
      <c r="FC382" s="1151"/>
      <c r="FD382" s="1151"/>
      <c r="FE382" s="1151"/>
      <c r="FF382" s="1151"/>
      <c r="FG382" s="1151"/>
      <c r="FH382" s="1151"/>
      <c r="FI382" s="1151"/>
      <c r="FJ382" s="1151"/>
      <c r="FK382" s="1151"/>
      <c r="FL382" s="1151"/>
      <c r="FM382" s="1151"/>
      <c r="FN382" s="1151"/>
      <c r="FO382" s="1151"/>
      <c r="FP382" s="1151"/>
      <c r="FQ382" s="1151"/>
      <c r="FR382" s="1151"/>
      <c r="FS382" s="1151"/>
      <c r="FT382" s="1151"/>
      <c r="FU382" s="1151"/>
      <c r="FV382" s="1151"/>
      <c r="FW382" s="1151"/>
      <c r="FX382" s="1151"/>
      <c r="FY382" s="1488"/>
      <c r="FZ382" s="1488"/>
      <c r="GA382" s="1488"/>
      <c r="GB382" s="1485"/>
      <c r="GC382" s="1485"/>
      <c r="GD382" s="1485"/>
      <c r="GE382" s="1485"/>
      <c r="GF382" s="1485"/>
      <c r="GG382" s="1485"/>
      <c r="GH382" s="1485"/>
    </row>
    <row r="383" spans="144:190" s="1295" customFormat="1" x14ac:dyDescent="0.25">
      <c r="EN383" s="1485"/>
      <c r="EO383" s="1485"/>
      <c r="EP383" s="1485"/>
      <c r="EQ383" s="1485"/>
      <c r="ER383" s="1485"/>
      <c r="ES383" s="1485"/>
      <c r="ET383" s="1485"/>
      <c r="EU383" s="1485"/>
      <c r="EV383" s="1485"/>
      <c r="EW383" s="1485"/>
      <c r="EX383" s="1486"/>
      <c r="EY383" s="1486"/>
      <c r="EZ383" s="1487"/>
      <c r="FA383" s="1487"/>
      <c r="FB383" s="1151"/>
      <c r="FC383" s="1151"/>
      <c r="FD383" s="1151"/>
      <c r="FE383" s="1151"/>
      <c r="FF383" s="1151"/>
      <c r="FG383" s="1151"/>
      <c r="FH383" s="1151"/>
      <c r="FI383" s="1151"/>
      <c r="FJ383" s="1151"/>
      <c r="FK383" s="1151"/>
      <c r="FL383" s="1151"/>
      <c r="FM383" s="1151"/>
      <c r="FN383" s="1151"/>
      <c r="FO383" s="1151"/>
      <c r="FP383" s="1151"/>
      <c r="FQ383" s="1151"/>
      <c r="FR383" s="1151"/>
      <c r="FS383" s="1151"/>
      <c r="FT383" s="1151"/>
      <c r="FU383" s="1151"/>
      <c r="FV383" s="1151"/>
      <c r="FW383" s="1151"/>
      <c r="FX383" s="1151"/>
      <c r="FY383" s="1488"/>
      <c r="FZ383" s="1488"/>
      <c r="GA383" s="1488"/>
      <c r="GB383" s="1485"/>
      <c r="GC383" s="1485"/>
      <c r="GD383" s="1485"/>
      <c r="GE383" s="1485"/>
      <c r="GF383" s="1485"/>
      <c r="GG383" s="1485"/>
      <c r="GH383" s="1485"/>
    </row>
    <row r="384" spans="144:190" s="1295" customFormat="1" x14ac:dyDescent="0.25">
      <c r="EN384" s="1485"/>
      <c r="EO384" s="1485"/>
      <c r="EP384" s="1485"/>
      <c r="EQ384" s="1485"/>
      <c r="ER384" s="1485"/>
      <c r="ES384" s="1485"/>
      <c r="ET384" s="1485"/>
      <c r="EU384" s="1485"/>
      <c r="EV384" s="1485"/>
      <c r="EW384" s="1485"/>
      <c r="EX384" s="1486"/>
      <c r="EY384" s="1486"/>
      <c r="EZ384" s="1487"/>
      <c r="FA384" s="1487"/>
      <c r="FB384" s="1151"/>
      <c r="FC384" s="1151"/>
      <c r="FD384" s="1151"/>
      <c r="FE384" s="1151"/>
      <c r="FF384" s="1151"/>
      <c r="FG384" s="1151"/>
      <c r="FH384" s="1151"/>
      <c r="FI384" s="1151"/>
      <c r="FJ384" s="1151"/>
      <c r="FK384" s="1151"/>
      <c r="FL384" s="1151"/>
      <c r="FM384" s="1151"/>
      <c r="FN384" s="1151"/>
      <c r="FO384" s="1151"/>
      <c r="FP384" s="1151"/>
      <c r="FQ384" s="1151"/>
      <c r="FR384" s="1151"/>
      <c r="FS384" s="1151"/>
      <c r="FT384" s="1151"/>
      <c r="FU384" s="1151"/>
      <c r="FV384" s="1151"/>
      <c r="FW384" s="1151"/>
      <c r="FX384" s="1151"/>
      <c r="FY384" s="1488"/>
      <c r="FZ384" s="1488"/>
      <c r="GA384" s="1488"/>
      <c r="GB384" s="1485"/>
      <c r="GC384" s="1485"/>
      <c r="GD384" s="1485"/>
      <c r="GE384" s="1485"/>
      <c r="GF384" s="1485"/>
      <c r="GG384" s="1485"/>
      <c r="GH384" s="1485"/>
    </row>
    <row r="385" spans="144:190" s="1295" customFormat="1" x14ac:dyDescent="0.25">
      <c r="EN385" s="1485"/>
      <c r="EO385" s="1485"/>
      <c r="EP385" s="1485"/>
      <c r="EQ385" s="1485"/>
      <c r="ER385" s="1485"/>
      <c r="ES385" s="1485"/>
      <c r="ET385" s="1485"/>
      <c r="EU385" s="1485"/>
      <c r="EV385" s="1485"/>
      <c r="EW385" s="1485"/>
      <c r="EX385" s="1486"/>
      <c r="EY385" s="1486"/>
      <c r="EZ385" s="1487"/>
      <c r="FA385" s="1487"/>
      <c r="FB385" s="1151"/>
      <c r="FC385" s="1151"/>
      <c r="FD385" s="1151"/>
      <c r="FE385" s="1151"/>
      <c r="FF385" s="1151"/>
      <c r="FG385" s="1151"/>
      <c r="FH385" s="1151"/>
      <c r="FI385" s="1151"/>
      <c r="FJ385" s="1151"/>
      <c r="FK385" s="1151"/>
      <c r="FL385" s="1151"/>
      <c r="FM385" s="1151"/>
      <c r="FN385" s="1151"/>
      <c r="FO385" s="1151"/>
      <c r="FP385" s="1151"/>
      <c r="FQ385" s="1151"/>
      <c r="FR385" s="1151"/>
      <c r="FS385" s="1151"/>
      <c r="FT385" s="1151"/>
      <c r="FU385" s="1151"/>
      <c r="FV385" s="1151"/>
      <c r="FW385" s="1151"/>
      <c r="FX385" s="1151"/>
      <c r="FY385" s="1488"/>
      <c r="FZ385" s="1488"/>
      <c r="GA385" s="1488"/>
      <c r="GB385" s="1485"/>
      <c r="GC385" s="1485"/>
      <c r="GD385" s="1485"/>
      <c r="GE385" s="1485"/>
      <c r="GF385" s="1485"/>
      <c r="GG385" s="1485"/>
      <c r="GH385" s="1485"/>
    </row>
    <row r="386" spans="144:190" s="1295" customFormat="1" x14ac:dyDescent="0.25">
      <c r="EN386" s="1485"/>
      <c r="EO386" s="1485"/>
      <c r="EP386" s="1485"/>
      <c r="EQ386" s="1485"/>
      <c r="ER386" s="1485"/>
      <c r="ES386" s="1485"/>
      <c r="ET386" s="1485"/>
      <c r="EU386" s="1485"/>
      <c r="EV386" s="1485"/>
      <c r="EW386" s="1485"/>
      <c r="EX386" s="1486"/>
      <c r="EY386" s="1486"/>
      <c r="EZ386" s="1487"/>
      <c r="FA386" s="1487"/>
      <c r="FB386" s="1151"/>
      <c r="FC386" s="1151"/>
      <c r="FD386" s="1151"/>
      <c r="FE386" s="1151"/>
      <c r="FF386" s="1151"/>
      <c r="FG386" s="1151"/>
      <c r="FH386" s="1151"/>
      <c r="FI386" s="1151"/>
      <c r="FJ386" s="1151"/>
      <c r="FK386" s="1151"/>
      <c r="FL386" s="1151"/>
      <c r="FM386" s="1151"/>
      <c r="FN386" s="1151"/>
      <c r="FO386" s="1151"/>
      <c r="FP386" s="1151"/>
      <c r="FQ386" s="1151"/>
      <c r="FR386" s="1151"/>
      <c r="FS386" s="1151"/>
      <c r="FT386" s="1151"/>
      <c r="FU386" s="1151"/>
      <c r="FV386" s="1151"/>
      <c r="FW386" s="1151"/>
      <c r="FX386" s="1151"/>
      <c r="FY386" s="1488"/>
      <c r="FZ386" s="1488"/>
      <c r="GA386" s="1488"/>
      <c r="GB386" s="1485"/>
      <c r="GC386" s="1485"/>
      <c r="GD386" s="1485"/>
      <c r="GE386" s="1485"/>
      <c r="GF386" s="1485"/>
      <c r="GG386" s="1485"/>
      <c r="GH386" s="1485"/>
    </row>
    <row r="387" spans="144:190" s="1295" customFormat="1" x14ac:dyDescent="0.25">
      <c r="EN387" s="1485"/>
      <c r="EO387" s="1485"/>
      <c r="EP387" s="1485"/>
      <c r="EQ387" s="1485"/>
      <c r="ER387" s="1485"/>
      <c r="ES387" s="1485"/>
      <c r="ET387" s="1485"/>
      <c r="EU387" s="1485"/>
      <c r="EV387" s="1485"/>
      <c r="EW387" s="1485"/>
      <c r="EX387" s="1486"/>
      <c r="EY387" s="1486"/>
      <c r="EZ387" s="1487"/>
      <c r="FA387" s="1487"/>
      <c r="FB387" s="1151"/>
      <c r="FC387" s="1151"/>
      <c r="FD387" s="1151"/>
      <c r="FE387" s="1151"/>
      <c r="FF387" s="1151"/>
      <c r="FG387" s="1151"/>
      <c r="FH387" s="1151"/>
      <c r="FI387" s="1151"/>
      <c r="FJ387" s="1151"/>
      <c r="FK387" s="1151"/>
      <c r="FL387" s="1151"/>
      <c r="FM387" s="1151"/>
      <c r="FN387" s="1151"/>
      <c r="FO387" s="1151"/>
      <c r="FP387" s="1151"/>
      <c r="FQ387" s="1151"/>
      <c r="FR387" s="1151"/>
      <c r="FS387" s="1151"/>
      <c r="FT387" s="1151"/>
      <c r="FU387" s="1151"/>
      <c r="FV387" s="1151"/>
      <c r="FW387" s="1151"/>
      <c r="FX387" s="1151"/>
      <c r="FY387" s="1488"/>
      <c r="FZ387" s="1488"/>
      <c r="GA387" s="1488"/>
      <c r="GB387" s="1485"/>
      <c r="GC387" s="1485"/>
      <c r="GD387" s="1485"/>
      <c r="GE387" s="1485"/>
      <c r="GF387" s="1485"/>
      <c r="GG387" s="1485"/>
      <c r="GH387" s="1485"/>
    </row>
    <row r="388" spans="144:190" s="1295" customFormat="1" x14ac:dyDescent="0.25">
      <c r="EN388" s="1485"/>
      <c r="EO388" s="1485"/>
      <c r="EP388" s="1485"/>
      <c r="EQ388" s="1485"/>
      <c r="ER388" s="1485"/>
      <c r="ES388" s="1485"/>
      <c r="ET388" s="1485"/>
      <c r="EU388" s="1485"/>
      <c r="EV388" s="1485"/>
      <c r="EW388" s="1485"/>
      <c r="EX388" s="1486"/>
      <c r="EY388" s="1486"/>
      <c r="EZ388" s="1487"/>
      <c r="FA388" s="1487"/>
      <c r="FB388" s="1151"/>
      <c r="FC388" s="1151"/>
      <c r="FD388" s="1151"/>
      <c r="FE388" s="1151"/>
      <c r="FF388" s="1151"/>
      <c r="FG388" s="1151"/>
      <c r="FH388" s="1151"/>
      <c r="FI388" s="1151"/>
      <c r="FJ388" s="1151"/>
      <c r="FK388" s="1151"/>
      <c r="FL388" s="1151"/>
      <c r="FM388" s="1151"/>
      <c r="FN388" s="1151"/>
      <c r="FO388" s="1151"/>
      <c r="FP388" s="1151"/>
      <c r="FQ388" s="1151"/>
      <c r="FR388" s="1151"/>
      <c r="FS388" s="1151"/>
      <c r="FT388" s="1151"/>
      <c r="FU388" s="1151"/>
      <c r="FV388" s="1151"/>
      <c r="FW388" s="1151"/>
      <c r="FX388" s="1151"/>
      <c r="FY388" s="1488"/>
      <c r="FZ388" s="1488"/>
      <c r="GA388" s="1488"/>
      <c r="GB388" s="1485"/>
      <c r="GC388" s="1485"/>
      <c r="GD388" s="1485"/>
      <c r="GE388" s="1485"/>
      <c r="GF388" s="1485"/>
      <c r="GG388" s="1485"/>
      <c r="GH388" s="1485"/>
    </row>
    <row r="389" spans="144:190" s="1295" customFormat="1" x14ac:dyDescent="0.25">
      <c r="EN389" s="1485"/>
      <c r="EO389" s="1485"/>
      <c r="EP389" s="1485"/>
      <c r="EQ389" s="1485"/>
      <c r="ER389" s="1485"/>
      <c r="ES389" s="1485"/>
      <c r="ET389" s="1485"/>
      <c r="EU389" s="1485"/>
      <c r="EV389" s="1485"/>
      <c r="EW389" s="1485"/>
      <c r="EX389" s="1486"/>
      <c r="EY389" s="1486"/>
      <c r="EZ389" s="1487"/>
      <c r="FA389" s="1487"/>
      <c r="FB389" s="1151"/>
      <c r="FC389" s="1151"/>
      <c r="FD389" s="1151"/>
      <c r="FE389" s="1151"/>
      <c r="FF389" s="1151"/>
      <c r="FG389" s="1151"/>
      <c r="FH389" s="1151"/>
      <c r="FI389" s="1151"/>
      <c r="FJ389" s="1151"/>
      <c r="FK389" s="1151"/>
      <c r="FL389" s="1151"/>
      <c r="FM389" s="1151"/>
      <c r="FN389" s="1151"/>
      <c r="FO389" s="1151"/>
      <c r="FP389" s="1151"/>
      <c r="FQ389" s="1151"/>
      <c r="FR389" s="1151"/>
      <c r="FS389" s="1151"/>
      <c r="FT389" s="1151"/>
      <c r="FU389" s="1151"/>
      <c r="FV389" s="1151"/>
      <c r="FW389" s="1151"/>
      <c r="FX389" s="1151"/>
      <c r="FY389" s="1488"/>
      <c r="FZ389" s="1488"/>
      <c r="GA389" s="1488"/>
      <c r="GB389" s="1485"/>
      <c r="GC389" s="1485"/>
      <c r="GD389" s="1485"/>
      <c r="GE389" s="1485"/>
      <c r="GF389" s="1485"/>
      <c r="GG389" s="1485"/>
      <c r="GH389" s="1485"/>
    </row>
    <row r="390" spans="144:190" s="1295" customFormat="1" x14ac:dyDescent="0.25">
      <c r="EN390" s="1485"/>
      <c r="EO390" s="1485"/>
      <c r="EP390" s="1485"/>
      <c r="EQ390" s="1485"/>
      <c r="ER390" s="1485"/>
      <c r="ES390" s="1485"/>
      <c r="ET390" s="1485"/>
      <c r="EU390" s="1485"/>
      <c r="EV390" s="1485"/>
      <c r="EW390" s="1485"/>
      <c r="EX390" s="1486"/>
      <c r="EY390" s="1486"/>
      <c r="EZ390" s="1487"/>
      <c r="FA390" s="1487"/>
      <c r="FB390" s="1151"/>
      <c r="FC390" s="1151"/>
      <c r="FD390" s="1151"/>
      <c r="FE390" s="1151"/>
      <c r="FF390" s="1151"/>
      <c r="FG390" s="1151"/>
      <c r="FH390" s="1151"/>
      <c r="FI390" s="1151"/>
      <c r="FJ390" s="1151"/>
      <c r="FK390" s="1151"/>
      <c r="FL390" s="1151"/>
      <c r="FM390" s="1151"/>
      <c r="FN390" s="1151"/>
      <c r="FO390" s="1151"/>
      <c r="FP390" s="1151"/>
      <c r="FQ390" s="1151"/>
      <c r="FR390" s="1151"/>
      <c r="FS390" s="1151"/>
      <c r="FT390" s="1151"/>
      <c r="FU390" s="1151"/>
      <c r="FV390" s="1151"/>
      <c r="FW390" s="1151"/>
      <c r="FX390" s="1151"/>
      <c r="FY390" s="1488"/>
      <c r="FZ390" s="1488"/>
      <c r="GA390" s="1488"/>
      <c r="GB390" s="1485"/>
      <c r="GC390" s="1485"/>
      <c r="GD390" s="1485"/>
      <c r="GE390" s="1485"/>
      <c r="GF390" s="1485"/>
      <c r="GG390" s="1485"/>
      <c r="GH390" s="1485"/>
    </row>
    <row r="391" spans="144:190" s="1295" customFormat="1" x14ac:dyDescent="0.25">
      <c r="EN391" s="1485"/>
      <c r="EO391" s="1485"/>
      <c r="EP391" s="1485"/>
      <c r="EQ391" s="1485"/>
      <c r="ER391" s="1485"/>
      <c r="ES391" s="1485"/>
      <c r="ET391" s="1485"/>
      <c r="EU391" s="1485"/>
      <c r="EV391" s="1485"/>
      <c r="EW391" s="1485"/>
      <c r="EX391" s="1486"/>
      <c r="EY391" s="1486"/>
      <c r="EZ391" s="1487"/>
      <c r="FA391" s="1487"/>
      <c r="FB391" s="1151"/>
      <c r="FC391" s="1151"/>
      <c r="FD391" s="1151"/>
      <c r="FE391" s="1151"/>
      <c r="FF391" s="1151"/>
      <c r="FG391" s="1151"/>
      <c r="FH391" s="1151"/>
      <c r="FI391" s="1151"/>
      <c r="FJ391" s="1151"/>
      <c r="FK391" s="1151"/>
      <c r="FL391" s="1151"/>
      <c r="FM391" s="1151"/>
      <c r="FN391" s="1151"/>
      <c r="FO391" s="1151"/>
      <c r="FP391" s="1151"/>
      <c r="FQ391" s="1151"/>
      <c r="FR391" s="1151"/>
      <c r="FS391" s="1151"/>
      <c r="FT391" s="1151"/>
      <c r="FU391" s="1151"/>
      <c r="FV391" s="1151"/>
      <c r="FW391" s="1151"/>
      <c r="FX391" s="1151"/>
      <c r="FY391" s="1488"/>
      <c r="FZ391" s="1488"/>
      <c r="GA391" s="1488"/>
      <c r="GB391" s="1485"/>
      <c r="GC391" s="1485"/>
      <c r="GD391" s="1485"/>
      <c r="GE391" s="1485"/>
      <c r="GF391" s="1485"/>
      <c r="GG391" s="1485"/>
      <c r="GH391" s="1485"/>
    </row>
    <row r="392" spans="144:190" s="1295" customFormat="1" x14ac:dyDescent="0.25">
      <c r="EN392" s="1485"/>
      <c r="EO392" s="1485"/>
      <c r="EP392" s="1485"/>
      <c r="EQ392" s="1485"/>
      <c r="ER392" s="1485"/>
      <c r="ES392" s="1485"/>
      <c r="ET392" s="1485"/>
      <c r="EU392" s="1485"/>
      <c r="EV392" s="1485"/>
      <c r="EW392" s="1485"/>
      <c r="EX392" s="1486"/>
      <c r="EY392" s="1486"/>
      <c r="EZ392" s="1487"/>
      <c r="FA392" s="1487"/>
      <c r="FB392" s="1151"/>
      <c r="FC392" s="1151"/>
      <c r="FD392" s="1151"/>
      <c r="FE392" s="1151"/>
      <c r="FF392" s="1151"/>
      <c r="FG392" s="1151"/>
      <c r="FH392" s="1151"/>
      <c r="FI392" s="1151"/>
      <c r="FJ392" s="1151"/>
      <c r="FK392" s="1151"/>
      <c r="FL392" s="1151"/>
      <c r="FM392" s="1151"/>
      <c r="FN392" s="1151"/>
      <c r="FO392" s="1151"/>
      <c r="FP392" s="1151"/>
      <c r="FQ392" s="1151"/>
      <c r="FR392" s="1151"/>
      <c r="FS392" s="1151"/>
      <c r="FT392" s="1151"/>
      <c r="FU392" s="1151"/>
      <c r="FV392" s="1151"/>
      <c r="FW392" s="1151"/>
      <c r="FX392" s="1151"/>
      <c r="FY392" s="1488"/>
      <c r="FZ392" s="1488"/>
      <c r="GA392" s="1488"/>
      <c r="GB392" s="1485"/>
      <c r="GC392" s="1485"/>
      <c r="GD392" s="1485"/>
      <c r="GE392" s="1485"/>
      <c r="GF392" s="1485"/>
      <c r="GG392" s="1485"/>
      <c r="GH392" s="1485"/>
    </row>
    <row r="393" spans="144:190" s="1295" customFormat="1" x14ac:dyDescent="0.25">
      <c r="EN393" s="1485"/>
      <c r="EO393" s="1485"/>
      <c r="EP393" s="1485"/>
      <c r="EQ393" s="1485"/>
      <c r="ER393" s="1485"/>
      <c r="ES393" s="1485"/>
      <c r="ET393" s="1485"/>
      <c r="EU393" s="1485"/>
      <c r="EV393" s="1485"/>
      <c r="EW393" s="1485"/>
      <c r="EX393" s="1486"/>
      <c r="EY393" s="1486"/>
      <c r="EZ393" s="1487"/>
      <c r="FA393" s="1487"/>
      <c r="FB393" s="1151"/>
      <c r="FC393" s="1151"/>
      <c r="FD393" s="1151"/>
      <c r="FE393" s="1151"/>
      <c r="FF393" s="1151"/>
      <c r="FG393" s="1151"/>
      <c r="FH393" s="1151"/>
      <c r="FI393" s="1151"/>
      <c r="FJ393" s="1151"/>
      <c r="FK393" s="1151"/>
      <c r="FL393" s="1151"/>
      <c r="FM393" s="1151"/>
      <c r="FN393" s="1151"/>
      <c r="FO393" s="1151"/>
      <c r="FP393" s="1151"/>
      <c r="FQ393" s="1151"/>
      <c r="FR393" s="1151"/>
      <c r="FS393" s="1151"/>
      <c r="FT393" s="1151"/>
      <c r="FU393" s="1151"/>
      <c r="FV393" s="1151"/>
      <c r="FW393" s="1151"/>
      <c r="FX393" s="1151"/>
      <c r="FY393" s="1488"/>
      <c r="FZ393" s="1488"/>
      <c r="GA393" s="1488"/>
      <c r="GB393" s="1485"/>
      <c r="GC393" s="1485"/>
      <c r="GD393" s="1485"/>
      <c r="GE393" s="1485"/>
      <c r="GF393" s="1485"/>
      <c r="GG393" s="1485"/>
      <c r="GH393" s="1485"/>
    </row>
    <row r="394" spans="144:190" s="1295" customFormat="1" x14ac:dyDescent="0.25">
      <c r="EN394" s="1485"/>
      <c r="EO394" s="1485"/>
      <c r="EP394" s="1485"/>
      <c r="EQ394" s="1485"/>
      <c r="ER394" s="1485"/>
      <c r="ES394" s="1485"/>
      <c r="ET394" s="1485"/>
      <c r="EU394" s="1485"/>
      <c r="EV394" s="1485"/>
      <c r="EW394" s="1485"/>
      <c r="EX394" s="1486"/>
      <c r="EY394" s="1486"/>
      <c r="EZ394" s="1487"/>
      <c r="FA394" s="1487"/>
      <c r="FB394" s="1151"/>
      <c r="FC394" s="1151"/>
      <c r="FD394" s="1151"/>
      <c r="FE394" s="1151"/>
      <c r="FF394" s="1151"/>
      <c r="FG394" s="1151"/>
      <c r="FH394" s="1151"/>
      <c r="FI394" s="1151"/>
      <c r="FJ394" s="1151"/>
      <c r="FK394" s="1151"/>
      <c r="FL394" s="1151"/>
      <c r="FM394" s="1151"/>
      <c r="FN394" s="1151"/>
      <c r="FO394" s="1151"/>
      <c r="FP394" s="1151"/>
      <c r="FQ394" s="1151"/>
      <c r="FR394" s="1151"/>
      <c r="FS394" s="1151"/>
      <c r="FT394" s="1151"/>
      <c r="FU394" s="1151"/>
      <c r="FV394" s="1151"/>
      <c r="FW394" s="1151"/>
      <c r="FX394" s="1151"/>
      <c r="FY394" s="1488"/>
      <c r="FZ394" s="1488"/>
      <c r="GA394" s="1488"/>
      <c r="GB394" s="1485"/>
      <c r="GC394" s="1485"/>
      <c r="GD394" s="1485"/>
      <c r="GE394" s="1485"/>
      <c r="GF394" s="1485"/>
      <c r="GG394" s="1485"/>
      <c r="GH394" s="1485"/>
    </row>
    <row r="395" spans="144:190" s="1295" customFormat="1" x14ac:dyDescent="0.25">
      <c r="EN395" s="1485"/>
      <c r="EO395" s="1485"/>
      <c r="EP395" s="1485"/>
      <c r="EQ395" s="1485"/>
      <c r="ER395" s="1485"/>
      <c r="ES395" s="1485"/>
      <c r="ET395" s="1485"/>
      <c r="EU395" s="1485"/>
      <c r="EV395" s="1485"/>
      <c r="EW395" s="1485"/>
      <c r="EX395" s="1486"/>
      <c r="EY395" s="1486"/>
      <c r="EZ395" s="1487"/>
      <c r="FA395" s="1487"/>
      <c r="FB395" s="1151"/>
      <c r="FC395" s="1151"/>
      <c r="FD395" s="1151"/>
      <c r="FE395" s="1151"/>
      <c r="FF395" s="1151"/>
      <c r="FG395" s="1151"/>
      <c r="FH395" s="1151"/>
      <c r="FI395" s="1151"/>
      <c r="FJ395" s="1151"/>
      <c r="FK395" s="1151"/>
      <c r="FL395" s="1151"/>
      <c r="FM395" s="1151"/>
      <c r="FN395" s="1151"/>
      <c r="FO395" s="1151"/>
      <c r="FP395" s="1151"/>
      <c r="FQ395" s="1151"/>
      <c r="FR395" s="1151"/>
      <c r="FS395" s="1151"/>
      <c r="FT395" s="1151"/>
      <c r="FU395" s="1151"/>
      <c r="FV395" s="1151"/>
      <c r="FW395" s="1151"/>
      <c r="FX395" s="1151"/>
      <c r="FY395" s="1488"/>
      <c r="FZ395" s="1488"/>
      <c r="GA395" s="1488"/>
      <c r="GB395" s="1485"/>
      <c r="GC395" s="1485"/>
      <c r="GD395" s="1485"/>
      <c r="GE395" s="1485"/>
      <c r="GF395" s="1485"/>
      <c r="GG395" s="1485"/>
      <c r="GH395" s="1485"/>
    </row>
    <row r="396" spans="144:190" s="1295" customFormat="1" x14ac:dyDescent="0.25">
      <c r="EN396" s="1485"/>
      <c r="EO396" s="1485"/>
      <c r="EP396" s="1485"/>
      <c r="EQ396" s="1485"/>
      <c r="ER396" s="1485"/>
      <c r="ES396" s="1485"/>
      <c r="ET396" s="1485"/>
      <c r="EU396" s="1485"/>
      <c r="EV396" s="1485"/>
      <c r="EW396" s="1485"/>
      <c r="EX396" s="1486"/>
      <c r="EY396" s="1486"/>
      <c r="EZ396" s="1487"/>
      <c r="FA396" s="1487"/>
      <c r="FB396" s="1151"/>
      <c r="FC396" s="1151"/>
      <c r="FD396" s="1151"/>
      <c r="FE396" s="1151"/>
      <c r="FF396" s="1151"/>
      <c r="FG396" s="1151"/>
      <c r="FH396" s="1151"/>
      <c r="FI396" s="1151"/>
      <c r="FJ396" s="1151"/>
      <c r="FK396" s="1151"/>
      <c r="FL396" s="1151"/>
      <c r="FM396" s="1151"/>
      <c r="FN396" s="1151"/>
      <c r="FO396" s="1151"/>
      <c r="FP396" s="1151"/>
      <c r="FQ396" s="1151"/>
      <c r="FR396" s="1151"/>
      <c r="FS396" s="1151"/>
      <c r="FT396" s="1151"/>
      <c r="FU396" s="1151"/>
      <c r="FV396" s="1151"/>
      <c r="FW396" s="1151"/>
      <c r="FX396" s="1151"/>
      <c r="FY396" s="1488"/>
      <c r="FZ396" s="1488"/>
      <c r="GA396" s="1488"/>
      <c r="GB396" s="1485"/>
      <c r="GC396" s="1485"/>
      <c r="GD396" s="1485"/>
      <c r="GE396" s="1485"/>
      <c r="GF396" s="1485"/>
      <c r="GG396" s="1485"/>
      <c r="GH396" s="1485"/>
    </row>
    <row r="397" spans="144:190" s="1295" customFormat="1" x14ac:dyDescent="0.25">
      <c r="EN397" s="1485"/>
      <c r="EO397" s="1485"/>
      <c r="EP397" s="1485"/>
      <c r="EQ397" s="1485"/>
      <c r="ER397" s="1485"/>
      <c r="ES397" s="1485"/>
      <c r="ET397" s="1485"/>
      <c r="EU397" s="1485"/>
      <c r="EV397" s="1485"/>
      <c r="EW397" s="1485"/>
      <c r="EX397" s="1486"/>
      <c r="EY397" s="1486"/>
      <c r="EZ397" s="1487"/>
      <c r="FA397" s="1487"/>
      <c r="FB397" s="1151"/>
      <c r="FC397" s="1151"/>
      <c r="FD397" s="1151"/>
      <c r="FE397" s="1151"/>
      <c r="FF397" s="1151"/>
      <c r="FG397" s="1151"/>
      <c r="FH397" s="1151"/>
      <c r="FI397" s="1151"/>
      <c r="FJ397" s="1151"/>
      <c r="FK397" s="1151"/>
      <c r="FL397" s="1151"/>
      <c r="FM397" s="1151"/>
      <c r="FN397" s="1151"/>
      <c r="FO397" s="1151"/>
      <c r="FP397" s="1151"/>
      <c r="FQ397" s="1151"/>
      <c r="FR397" s="1151"/>
      <c r="FS397" s="1151"/>
      <c r="FT397" s="1151"/>
      <c r="FU397" s="1151"/>
      <c r="FV397" s="1151"/>
      <c r="FW397" s="1151"/>
      <c r="FX397" s="1151"/>
      <c r="FY397" s="1488"/>
      <c r="FZ397" s="1488"/>
      <c r="GA397" s="1488"/>
      <c r="GB397" s="1485"/>
      <c r="GC397" s="1485"/>
      <c r="GD397" s="1485"/>
      <c r="GE397" s="1485"/>
      <c r="GF397" s="1485"/>
      <c r="GG397" s="1485"/>
      <c r="GH397" s="1485"/>
    </row>
    <row r="398" spans="144:190" s="1295" customFormat="1" x14ac:dyDescent="0.25">
      <c r="EN398" s="1485"/>
      <c r="EO398" s="1485"/>
      <c r="EP398" s="1485"/>
      <c r="EQ398" s="1485"/>
      <c r="ER398" s="1485"/>
      <c r="ES398" s="1485"/>
      <c r="ET398" s="1485"/>
      <c r="EU398" s="1485"/>
      <c r="EV398" s="1485"/>
      <c r="EW398" s="1485"/>
      <c r="EX398" s="1486"/>
      <c r="EY398" s="1486"/>
      <c r="EZ398" s="1487"/>
      <c r="FA398" s="1487"/>
      <c r="FB398" s="1151"/>
      <c r="FC398" s="1151"/>
      <c r="FD398" s="1151"/>
      <c r="FE398" s="1151"/>
      <c r="FF398" s="1151"/>
      <c r="FG398" s="1151"/>
      <c r="FH398" s="1151"/>
      <c r="FI398" s="1151"/>
      <c r="FJ398" s="1151"/>
      <c r="FK398" s="1151"/>
      <c r="FL398" s="1151"/>
      <c r="FM398" s="1151"/>
      <c r="FN398" s="1151"/>
      <c r="FO398" s="1151"/>
      <c r="FP398" s="1151"/>
      <c r="FQ398" s="1151"/>
      <c r="FR398" s="1151"/>
      <c r="FS398" s="1151"/>
      <c r="FT398" s="1151"/>
      <c r="FU398" s="1151"/>
      <c r="FV398" s="1151"/>
      <c r="FW398" s="1151"/>
      <c r="FX398" s="1151"/>
      <c r="FY398" s="1488"/>
      <c r="FZ398" s="1488"/>
      <c r="GA398" s="1488"/>
      <c r="GB398" s="1485"/>
      <c r="GC398" s="1485"/>
      <c r="GD398" s="1485"/>
      <c r="GE398" s="1485"/>
      <c r="GF398" s="1485"/>
      <c r="GG398" s="1485"/>
      <c r="GH398" s="1485"/>
    </row>
    <row r="399" spans="144:190" s="1295" customFormat="1" x14ac:dyDescent="0.25">
      <c r="EN399" s="1485"/>
      <c r="EO399" s="1485"/>
      <c r="EP399" s="1485"/>
      <c r="EQ399" s="1485"/>
      <c r="ER399" s="1485"/>
      <c r="ES399" s="1485"/>
      <c r="ET399" s="1485"/>
      <c r="EU399" s="1485"/>
      <c r="EV399" s="1485"/>
      <c r="EW399" s="1485"/>
      <c r="EX399" s="1486"/>
      <c r="EY399" s="1486"/>
      <c r="EZ399" s="1487"/>
      <c r="FA399" s="1487"/>
      <c r="FB399" s="1151"/>
      <c r="FC399" s="1151"/>
      <c r="FD399" s="1151"/>
      <c r="FE399" s="1151"/>
      <c r="FF399" s="1151"/>
      <c r="FG399" s="1151"/>
      <c r="FH399" s="1151"/>
      <c r="FI399" s="1151"/>
      <c r="FJ399" s="1151"/>
      <c r="FK399" s="1151"/>
      <c r="FL399" s="1151"/>
      <c r="FM399" s="1151"/>
      <c r="FN399" s="1151"/>
      <c r="FO399" s="1151"/>
      <c r="FP399" s="1151"/>
      <c r="FQ399" s="1151"/>
      <c r="FR399" s="1151"/>
      <c r="FS399" s="1151"/>
      <c r="FT399" s="1151"/>
      <c r="FU399" s="1151"/>
      <c r="FV399" s="1151"/>
      <c r="FW399" s="1151"/>
      <c r="FX399" s="1151"/>
      <c r="FY399" s="1488"/>
      <c r="FZ399" s="1488"/>
      <c r="GA399" s="1488"/>
      <c r="GB399" s="1485"/>
      <c r="GC399" s="1485"/>
      <c r="GD399" s="1485"/>
      <c r="GE399" s="1485"/>
      <c r="GF399" s="1485"/>
      <c r="GG399" s="1485"/>
      <c r="GH399" s="1485"/>
    </row>
    <row r="400" spans="144:190" s="1295" customFormat="1" x14ac:dyDescent="0.25">
      <c r="EN400" s="1485"/>
      <c r="EO400" s="1485"/>
      <c r="EP400" s="1485"/>
      <c r="EQ400" s="1485"/>
      <c r="ER400" s="1485"/>
      <c r="ES400" s="1485"/>
      <c r="ET400" s="1485"/>
      <c r="EU400" s="1485"/>
      <c r="EV400" s="1485"/>
      <c r="EW400" s="1485"/>
      <c r="EX400" s="1486"/>
      <c r="EY400" s="1486"/>
      <c r="EZ400" s="1487"/>
      <c r="FA400" s="1487"/>
      <c r="FB400" s="1151"/>
      <c r="FC400" s="1151"/>
      <c r="FD400" s="1151"/>
      <c r="FE400" s="1151"/>
      <c r="FF400" s="1151"/>
      <c r="FG400" s="1151"/>
      <c r="FH400" s="1151"/>
      <c r="FI400" s="1151"/>
      <c r="FJ400" s="1151"/>
      <c r="FK400" s="1151"/>
      <c r="FL400" s="1151"/>
      <c r="FM400" s="1151"/>
      <c r="FN400" s="1151"/>
      <c r="FO400" s="1151"/>
      <c r="FP400" s="1151"/>
      <c r="FQ400" s="1151"/>
      <c r="FR400" s="1151"/>
      <c r="FS400" s="1151"/>
      <c r="FT400" s="1151"/>
      <c r="FU400" s="1151"/>
      <c r="FV400" s="1151"/>
      <c r="FW400" s="1151"/>
      <c r="FX400" s="1151"/>
      <c r="FY400" s="1488"/>
      <c r="FZ400" s="1488"/>
      <c r="GA400" s="1488"/>
      <c r="GB400" s="1485"/>
      <c r="GC400" s="1485"/>
      <c r="GD400" s="1485"/>
      <c r="GE400" s="1485"/>
      <c r="GF400" s="1485"/>
      <c r="GG400" s="1485"/>
      <c r="GH400" s="1485"/>
    </row>
    <row r="401" spans="144:190" s="1295" customFormat="1" x14ac:dyDescent="0.25">
      <c r="EN401" s="1485"/>
      <c r="EO401" s="1485"/>
      <c r="EP401" s="1485"/>
      <c r="EQ401" s="1485"/>
      <c r="ER401" s="1485"/>
      <c r="ES401" s="1485"/>
      <c r="ET401" s="1485"/>
      <c r="EU401" s="1485"/>
      <c r="EV401" s="1485"/>
      <c r="EW401" s="1485"/>
      <c r="EX401" s="1486"/>
      <c r="EY401" s="1486"/>
      <c r="EZ401" s="1487"/>
      <c r="FA401" s="1487"/>
      <c r="FB401" s="1151"/>
      <c r="FC401" s="1151"/>
      <c r="FD401" s="1151"/>
      <c r="FE401" s="1151"/>
      <c r="FF401" s="1151"/>
      <c r="FG401" s="1151"/>
      <c r="FH401" s="1151"/>
      <c r="FI401" s="1151"/>
      <c r="FJ401" s="1151"/>
      <c r="FK401" s="1151"/>
      <c r="FL401" s="1151"/>
      <c r="FM401" s="1151"/>
      <c r="FN401" s="1151"/>
      <c r="FO401" s="1151"/>
      <c r="FP401" s="1151"/>
      <c r="FQ401" s="1151"/>
      <c r="FR401" s="1151"/>
      <c r="FS401" s="1151"/>
      <c r="FT401" s="1151"/>
      <c r="FU401" s="1151"/>
      <c r="FV401" s="1151"/>
      <c r="FW401" s="1151"/>
      <c r="FX401" s="1151"/>
      <c r="FY401" s="1488"/>
      <c r="FZ401" s="1488"/>
      <c r="GA401" s="1488"/>
      <c r="GB401" s="1485"/>
      <c r="GC401" s="1485"/>
      <c r="GD401" s="1485"/>
      <c r="GE401" s="1485"/>
      <c r="GF401" s="1485"/>
      <c r="GG401" s="1485"/>
      <c r="GH401" s="1485"/>
    </row>
    <row r="402" spans="144:190" s="1295" customFormat="1" x14ac:dyDescent="0.25">
      <c r="EN402" s="1485"/>
      <c r="EO402" s="1485"/>
      <c r="EP402" s="1485"/>
      <c r="EQ402" s="1485"/>
      <c r="ER402" s="1485"/>
      <c r="ES402" s="1485"/>
      <c r="ET402" s="1485"/>
      <c r="EU402" s="1485"/>
      <c r="EV402" s="1485"/>
      <c r="EW402" s="1485"/>
      <c r="EX402" s="1486"/>
      <c r="EY402" s="1486"/>
      <c r="EZ402" s="1487"/>
      <c r="FA402" s="1487"/>
      <c r="FB402" s="1151"/>
      <c r="FC402" s="1151"/>
      <c r="FD402" s="1151"/>
      <c r="FE402" s="1151"/>
      <c r="FF402" s="1151"/>
      <c r="FG402" s="1151"/>
      <c r="FH402" s="1151"/>
      <c r="FI402" s="1151"/>
      <c r="FJ402" s="1151"/>
      <c r="FK402" s="1151"/>
      <c r="FL402" s="1151"/>
      <c r="FM402" s="1151"/>
      <c r="FN402" s="1151"/>
      <c r="FO402" s="1151"/>
      <c r="FP402" s="1151"/>
      <c r="FQ402" s="1151"/>
      <c r="FR402" s="1151"/>
      <c r="FS402" s="1151"/>
      <c r="FT402" s="1151"/>
      <c r="FU402" s="1151"/>
      <c r="FV402" s="1151"/>
      <c r="FW402" s="1151"/>
      <c r="FX402" s="1151"/>
      <c r="FY402" s="1488"/>
      <c r="FZ402" s="1488"/>
      <c r="GA402" s="1488"/>
      <c r="GB402" s="1485"/>
      <c r="GC402" s="1485"/>
      <c r="GD402" s="1485"/>
      <c r="GE402" s="1485"/>
      <c r="GF402" s="1485"/>
      <c r="GG402" s="1485"/>
      <c r="GH402" s="1485"/>
    </row>
    <row r="403" spans="144:190" s="1295" customFormat="1" x14ac:dyDescent="0.25">
      <c r="EN403" s="1485"/>
      <c r="EO403" s="1485"/>
      <c r="EP403" s="1485"/>
      <c r="EQ403" s="1485"/>
      <c r="ER403" s="1485"/>
      <c r="ES403" s="1485"/>
      <c r="ET403" s="1485"/>
      <c r="EU403" s="1485"/>
      <c r="EV403" s="1485"/>
      <c r="EW403" s="1485"/>
      <c r="EX403" s="1486"/>
      <c r="EY403" s="1486"/>
      <c r="EZ403" s="1487"/>
      <c r="FA403" s="1487"/>
      <c r="FB403" s="1151"/>
      <c r="FC403" s="1151"/>
      <c r="FD403" s="1151"/>
      <c r="FE403" s="1151"/>
      <c r="FF403" s="1151"/>
      <c r="FG403" s="1151"/>
      <c r="FH403" s="1151"/>
      <c r="FI403" s="1151"/>
      <c r="FJ403" s="1151"/>
      <c r="FK403" s="1151"/>
      <c r="FL403" s="1151"/>
      <c r="FM403" s="1151"/>
      <c r="FN403" s="1151"/>
      <c r="FO403" s="1151"/>
      <c r="FP403" s="1151"/>
      <c r="FQ403" s="1151"/>
      <c r="FR403" s="1151"/>
      <c r="FS403" s="1151"/>
      <c r="FT403" s="1151"/>
      <c r="FU403" s="1151"/>
      <c r="FV403" s="1151"/>
      <c r="FW403" s="1151"/>
      <c r="FX403" s="1151"/>
      <c r="FY403" s="1488"/>
      <c r="FZ403" s="1488"/>
      <c r="GA403" s="1488"/>
      <c r="GB403" s="1485"/>
      <c r="GC403" s="1485"/>
      <c r="GD403" s="1485"/>
      <c r="GE403" s="1485"/>
      <c r="GF403" s="1485"/>
      <c r="GG403" s="1485"/>
      <c r="GH403" s="1485"/>
    </row>
    <row r="404" spans="144:190" s="1295" customFormat="1" x14ac:dyDescent="0.25">
      <c r="EN404" s="1485"/>
      <c r="EO404" s="1485"/>
      <c r="EP404" s="1485"/>
      <c r="EQ404" s="1485"/>
      <c r="ER404" s="1485"/>
      <c r="ES404" s="1485"/>
      <c r="ET404" s="1485"/>
      <c r="EU404" s="1485"/>
      <c r="EV404" s="1485"/>
      <c r="EW404" s="1485"/>
      <c r="EX404" s="1486"/>
      <c r="EY404" s="1486"/>
      <c r="EZ404" s="1487"/>
      <c r="FA404" s="1487"/>
      <c r="FB404" s="1151"/>
      <c r="FC404" s="1151"/>
      <c r="FD404" s="1151"/>
      <c r="FE404" s="1151"/>
      <c r="FF404" s="1151"/>
      <c r="FG404" s="1151"/>
      <c r="FH404" s="1151"/>
      <c r="FI404" s="1151"/>
      <c r="FJ404" s="1151"/>
      <c r="FK404" s="1151"/>
      <c r="FL404" s="1151"/>
      <c r="FM404" s="1151"/>
      <c r="FN404" s="1151"/>
      <c r="FO404" s="1151"/>
      <c r="FP404" s="1151"/>
      <c r="FQ404" s="1151"/>
      <c r="FR404" s="1151"/>
      <c r="FS404" s="1151"/>
      <c r="FT404" s="1151"/>
      <c r="FU404" s="1151"/>
      <c r="FV404" s="1151"/>
      <c r="FW404" s="1151"/>
      <c r="FX404" s="1151"/>
      <c r="FY404" s="1488"/>
      <c r="FZ404" s="1488"/>
      <c r="GA404" s="1488"/>
      <c r="GB404" s="1485"/>
      <c r="GC404" s="1485"/>
      <c r="GD404" s="1485"/>
      <c r="GE404" s="1485"/>
      <c r="GF404" s="1485"/>
      <c r="GG404" s="1485"/>
      <c r="GH404" s="1485"/>
    </row>
    <row r="405" spans="144:190" s="1295" customFormat="1" x14ac:dyDescent="0.25">
      <c r="EN405" s="1485"/>
      <c r="EO405" s="1485"/>
      <c r="EP405" s="1485"/>
      <c r="EQ405" s="1485"/>
      <c r="ER405" s="1485"/>
      <c r="ES405" s="1485"/>
      <c r="ET405" s="1485"/>
      <c r="EU405" s="1485"/>
      <c r="EV405" s="1485"/>
      <c r="EW405" s="1485"/>
      <c r="EX405" s="1486"/>
      <c r="EY405" s="1486"/>
      <c r="EZ405" s="1487"/>
      <c r="FA405" s="1487"/>
      <c r="FB405" s="1151"/>
      <c r="FC405" s="1151"/>
      <c r="FD405" s="1151"/>
      <c r="FE405" s="1151"/>
      <c r="FF405" s="1151"/>
      <c r="FG405" s="1151"/>
      <c r="FH405" s="1151"/>
      <c r="FI405" s="1151"/>
      <c r="FJ405" s="1151"/>
      <c r="FK405" s="1151"/>
      <c r="FL405" s="1151"/>
      <c r="FM405" s="1151"/>
      <c r="FN405" s="1151"/>
      <c r="FO405" s="1151"/>
      <c r="FP405" s="1151"/>
      <c r="FQ405" s="1151"/>
      <c r="FR405" s="1151"/>
      <c r="FS405" s="1151"/>
      <c r="FT405" s="1151"/>
      <c r="FU405" s="1151"/>
      <c r="FV405" s="1151"/>
      <c r="FW405" s="1151"/>
      <c r="FX405" s="1151"/>
      <c r="FY405" s="1488"/>
      <c r="FZ405" s="1488"/>
      <c r="GA405" s="1488"/>
      <c r="GB405" s="1485"/>
      <c r="GC405" s="1485"/>
      <c r="GD405" s="1485"/>
      <c r="GE405" s="1485"/>
      <c r="GF405" s="1485"/>
      <c r="GG405" s="1485"/>
      <c r="GH405" s="1485"/>
    </row>
    <row r="406" spans="144:190" s="1295" customFormat="1" x14ac:dyDescent="0.25">
      <c r="EN406" s="1485"/>
      <c r="EO406" s="1485"/>
      <c r="EP406" s="1485"/>
      <c r="EQ406" s="1485"/>
      <c r="ER406" s="1485"/>
      <c r="ES406" s="1485"/>
      <c r="ET406" s="1485"/>
      <c r="EU406" s="1485"/>
      <c r="EV406" s="1485"/>
      <c r="EW406" s="1485"/>
      <c r="EX406" s="1486"/>
      <c r="EY406" s="1486"/>
      <c r="EZ406" s="1487"/>
      <c r="FA406" s="1487"/>
      <c r="FB406" s="1151"/>
      <c r="FC406" s="1151"/>
      <c r="FD406" s="1151"/>
      <c r="FE406" s="1151"/>
      <c r="FF406" s="1151"/>
      <c r="FG406" s="1151"/>
      <c r="FH406" s="1151"/>
      <c r="FI406" s="1151"/>
      <c r="FJ406" s="1151"/>
      <c r="FK406" s="1151"/>
      <c r="FL406" s="1151"/>
      <c r="FM406" s="1151"/>
      <c r="FN406" s="1151"/>
      <c r="FO406" s="1151"/>
      <c r="FP406" s="1151"/>
      <c r="FQ406" s="1151"/>
      <c r="FR406" s="1151"/>
      <c r="FS406" s="1151"/>
      <c r="FT406" s="1151"/>
      <c r="FU406" s="1151"/>
      <c r="FV406" s="1151"/>
      <c r="FW406" s="1151"/>
      <c r="FX406" s="1151"/>
      <c r="FY406" s="1488"/>
      <c r="FZ406" s="1488"/>
      <c r="GA406" s="1488"/>
      <c r="GB406" s="1485"/>
      <c r="GC406" s="1485"/>
      <c r="GD406" s="1485"/>
      <c r="GE406" s="1485"/>
      <c r="GF406" s="1485"/>
      <c r="GG406" s="1485"/>
      <c r="GH406" s="1485"/>
    </row>
    <row r="407" spans="144:190" s="1295" customFormat="1" x14ac:dyDescent="0.25">
      <c r="EN407" s="1485"/>
      <c r="EO407" s="1485"/>
      <c r="EP407" s="1485"/>
      <c r="EQ407" s="1485"/>
      <c r="ER407" s="1485"/>
      <c r="ES407" s="1485"/>
      <c r="ET407" s="1485"/>
      <c r="EU407" s="1485"/>
      <c r="EV407" s="1485"/>
      <c r="EW407" s="1485"/>
      <c r="EX407" s="1486"/>
      <c r="EY407" s="1486"/>
      <c r="EZ407" s="1487"/>
      <c r="FA407" s="1487"/>
      <c r="FB407" s="1151"/>
      <c r="FC407" s="1151"/>
      <c r="FD407" s="1151"/>
      <c r="FE407" s="1151"/>
      <c r="FF407" s="1151"/>
      <c r="FG407" s="1151"/>
      <c r="FH407" s="1151"/>
      <c r="FI407" s="1151"/>
      <c r="FJ407" s="1151"/>
      <c r="FK407" s="1151"/>
      <c r="FL407" s="1151"/>
      <c r="FM407" s="1151"/>
      <c r="FN407" s="1151"/>
      <c r="FO407" s="1151"/>
      <c r="FP407" s="1151"/>
      <c r="FQ407" s="1151"/>
      <c r="FR407" s="1151"/>
      <c r="FS407" s="1151"/>
      <c r="FT407" s="1151"/>
      <c r="FU407" s="1151"/>
      <c r="FV407" s="1151"/>
      <c r="FW407" s="1151"/>
      <c r="FX407" s="1151"/>
      <c r="FY407" s="1488"/>
      <c r="FZ407" s="1488"/>
      <c r="GA407" s="1488"/>
      <c r="GB407" s="1485"/>
      <c r="GC407" s="1485"/>
      <c r="GD407" s="1485"/>
      <c r="GE407" s="1485"/>
      <c r="GF407" s="1485"/>
      <c r="GG407" s="1485"/>
      <c r="GH407" s="1485"/>
    </row>
    <row r="408" spans="144:190" s="1295" customFormat="1" x14ac:dyDescent="0.25">
      <c r="EN408" s="1485"/>
      <c r="EO408" s="1485"/>
      <c r="EP408" s="1485"/>
      <c r="EQ408" s="1485"/>
      <c r="ER408" s="1485"/>
      <c r="ES408" s="1485"/>
      <c r="ET408" s="1485"/>
      <c r="EU408" s="1485"/>
      <c r="EV408" s="1485"/>
      <c r="EW408" s="1485"/>
      <c r="EX408" s="1486"/>
      <c r="EY408" s="1486"/>
      <c r="EZ408" s="1487"/>
      <c r="FA408" s="1487"/>
      <c r="FB408" s="1151"/>
      <c r="FC408" s="1151"/>
      <c r="FD408" s="1151"/>
      <c r="FE408" s="1151"/>
      <c r="FF408" s="1151"/>
      <c r="FG408" s="1151"/>
      <c r="FH408" s="1151"/>
      <c r="FI408" s="1151"/>
      <c r="FJ408" s="1151"/>
      <c r="FK408" s="1151"/>
      <c r="FL408" s="1151"/>
      <c r="FM408" s="1151"/>
      <c r="FN408" s="1151"/>
      <c r="FO408" s="1151"/>
      <c r="FP408" s="1151"/>
      <c r="FQ408" s="1151"/>
      <c r="FR408" s="1151"/>
      <c r="FS408" s="1151"/>
      <c r="FT408" s="1151"/>
      <c r="FU408" s="1151"/>
      <c r="FV408" s="1151"/>
      <c r="FW408" s="1151"/>
      <c r="FX408" s="1151"/>
      <c r="FY408" s="1488"/>
      <c r="FZ408" s="1488"/>
      <c r="GA408" s="1488"/>
      <c r="GB408" s="1485"/>
      <c r="GC408" s="1485"/>
      <c r="GD408" s="1485"/>
      <c r="GE408" s="1485"/>
      <c r="GF408" s="1485"/>
      <c r="GG408" s="1485"/>
      <c r="GH408" s="1485"/>
    </row>
    <row r="409" spans="144:190" s="1295" customFormat="1" x14ac:dyDescent="0.25">
      <c r="EN409" s="1485"/>
      <c r="EO409" s="1485"/>
      <c r="EP409" s="1485"/>
      <c r="EQ409" s="1485"/>
      <c r="ER409" s="1485"/>
      <c r="ES409" s="1485"/>
      <c r="ET409" s="1485"/>
      <c r="EU409" s="1485"/>
      <c r="EV409" s="1485"/>
      <c r="EW409" s="1485"/>
      <c r="EX409" s="1486"/>
      <c r="EY409" s="1486"/>
      <c r="EZ409" s="1487"/>
      <c r="FA409" s="1487"/>
      <c r="FB409" s="1151"/>
      <c r="FC409" s="1151"/>
      <c r="FD409" s="1151"/>
      <c r="FE409" s="1151"/>
      <c r="FF409" s="1151"/>
      <c r="FG409" s="1151"/>
      <c r="FH409" s="1151"/>
      <c r="FI409" s="1151"/>
      <c r="FJ409" s="1151"/>
      <c r="FK409" s="1151"/>
      <c r="FL409" s="1151"/>
      <c r="FM409" s="1151"/>
      <c r="FN409" s="1151"/>
      <c r="FO409" s="1151"/>
      <c r="FP409" s="1151"/>
      <c r="FQ409" s="1151"/>
      <c r="FR409" s="1151"/>
      <c r="FS409" s="1151"/>
      <c r="FT409" s="1151"/>
      <c r="FU409" s="1151"/>
      <c r="FV409" s="1151"/>
      <c r="FW409" s="1151"/>
      <c r="FX409" s="1151"/>
      <c r="FY409" s="1488"/>
      <c r="FZ409" s="1488"/>
      <c r="GA409" s="1488"/>
      <c r="GB409" s="1485"/>
      <c r="GC409" s="1485"/>
      <c r="GD409" s="1485"/>
      <c r="GE409" s="1485"/>
      <c r="GF409" s="1485"/>
      <c r="GG409" s="1485"/>
      <c r="GH409" s="1485"/>
    </row>
    <row r="410" spans="144:190" s="1295" customFormat="1" x14ac:dyDescent="0.25">
      <c r="EN410" s="1485"/>
      <c r="EO410" s="1485"/>
      <c r="EP410" s="1485"/>
      <c r="EQ410" s="1485"/>
      <c r="ER410" s="1485"/>
      <c r="ES410" s="1485"/>
      <c r="ET410" s="1485"/>
      <c r="EU410" s="1485"/>
      <c r="EV410" s="1485"/>
      <c r="EW410" s="1485"/>
      <c r="EX410" s="1486"/>
      <c r="EY410" s="1486"/>
      <c r="EZ410" s="1487"/>
      <c r="FA410" s="1487"/>
      <c r="FB410" s="1151"/>
      <c r="FC410" s="1151"/>
      <c r="FD410" s="1151"/>
      <c r="FE410" s="1151"/>
      <c r="FF410" s="1151"/>
      <c r="FG410" s="1151"/>
      <c r="FH410" s="1151"/>
      <c r="FI410" s="1151"/>
      <c r="FJ410" s="1151"/>
      <c r="FK410" s="1151"/>
      <c r="FL410" s="1151"/>
      <c r="FM410" s="1151"/>
      <c r="FN410" s="1151"/>
      <c r="FO410" s="1151"/>
      <c r="FP410" s="1151"/>
      <c r="FQ410" s="1151"/>
      <c r="FR410" s="1151"/>
      <c r="FS410" s="1151"/>
      <c r="FT410" s="1151"/>
      <c r="FU410" s="1151"/>
      <c r="FV410" s="1151"/>
      <c r="FW410" s="1151"/>
      <c r="FX410" s="1151"/>
      <c r="FY410" s="1488"/>
      <c r="FZ410" s="1488"/>
      <c r="GA410" s="1488"/>
      <c r="GB410" s="1485"/>
      <c r="GC410" s="1485"/>
      <c r="GD410" s="1485"/>
      <c r="GE410" s="1485"/>
      <c r="GF410" s="1485"/>
      <c r="GG410" s="1485"/>
      <c r="GH410" s="1485"/>
    </row>
    <row r="411" spans="144:190" s="1295" customFormat="1" x14ac:dyDescent="0.25">
      <c r="EN411" s="1485"/>
      <c r="EO411" s="1485"/>
      <c r="EP411" s="1485"/>
      <c r="EQ411" s="1485"/>
      <c r="ER411" s="1485"/>
      <c r="ES411" s="1485"/>
      <c r="ET411" s="1485"/>
      <c r="EU411" s="1485"/>
      <c r="EV411" s="1485"/>
      <c r="EW411" s="1485"/>
      <c r="EX411" s="1486"/>
      <c r="EY411" s="1486"/>
      <c r="EZ411" s="1487"/>
      <c r="FA411" s="1487"/>
      <c r="FB411" s="1151"/>
      <c r="FC411" s="1151"/>
      <c r="FD411" s="1151"/>
      <c r="FE411" s="1151"/>
      <c r="FF411" s="1151"/>
      <c r="FG411" s="1151"/>
      <c r="FH411" s="1151"/>
      <c r="FI411" s="1151"/>
      <c r="FJ411" s="1151"/>
      <c r="FK411" s="1151"/>
      <c r="FL411" s="1151"/>
      <c r="FM411" s="1151"/>
      <c r="FN411" s="1151"/>
      <c r="FO411" s="1151"/>
      <c r="FP411" s="1151"/>
      <c r="FQ411" s="1151"/>
      <c r="FR411" s="1151"/>
      <c r="FS411" s="1151"/>
      <c r="FT411" s="1151"/>
      <c r="FU411" s="1151"/>
      <c r="FV411" s="1151"/>
      <c r="FW411" s="1151"/>
      <c r="FX411" s="1151"/>
      <c r="FY411" s="1488"/>
      <c r="FZ411" s="1488"/>
      <c r="GA411" s="1488"/>
      <c r="GB411" s="1485"/>
      <c r="GC411" s="1485"/>
      <c r="GD411" s="1485"/>
      <c r="GE411" s="1485"/>
      <c r="GF411" s="1485"/>
      <c r="GG411" s="1485"/>
      <c r="GH411" s="1485"/>
    </row>
    <row r="412" spans="144:190" s="1295" customFormat="1" x14ac:dyDescent="0.25">
      <c r="EN412" s="1485"/>
      <c r="EO412" s="1485"/>
      <c r="EP412" s="1485"/>
      <c r="EQ412" s="1485"/>
      <c r="ER412" s="1485"/>
      <c r="ES412" s="1485"/>
      <c r="ET412" s="1485"/>
      <c r="EU412" s="1485"/>
      <c r="EV412" s="1485"/>
      <c r="EW412" s="1485"/>
      <c r="EX412" s="1486"/>
      <c r="EY412" s="1486"/>
      <c r="EZ412" s="1487"/>
      <c r="FA412" s="1487"/>
      <c r="FB412" s="1151"/>
      <c r="FC412" s="1151"/>
      <c r="FD412" s="1151"/>
      <c r="FE412" s="1151"/>
      <c r="FF412" s="1151"/>
      <c r="FG412" s="1151"/>
      <c r="FH412" s="1151"/>
      <c r="FI412" s="1151"/>
      <c r="FJ412" s="1151"/>
      <c r="FK412" s="1151"/>
      <c r="FL412" s="1151"/>
      <c r="FM412" s="1151"/>
      <c r="FN412" s="1151"/>
      <c r="FO412" s="1151"/>
      <c r="FP412" s="1151"/>
      <c r="FQ412" s="1151"/>
      <c r="FR412" s="1151"/>
      <c r="FS412" s="1151"/>
      <c r="FT412" s="1151"/>
      <c r="FU412" s="1151"/>
      <c r="FV412" s="1151"/>
      <c r="FW412" s="1151"/>
      <c r="FX412" s="1151"/>
      <c r="FY412" s="1488"/>
      <c r="FZ412" s="1488"/>
      <c r="GA412" s="1488"/>
      <c r="GB412" s="1485"/>
      <c r="GC412" s="1485"/>
      <c r="GD412" s="1485"/>
      <c r="GE412" s="1485"/>
      <c r="GF412" s="1485"/>
      <c r="GG412" s="1485"/>
      <c r="GH412" s="1485"/>
    </row>
    <row r="413" spans="144:190" s="1295" customFormat="1" x14ac:dyDescent="0.25">
      <c r="EN413" s="1485"/>
      <c r="EO413" s="1485"/>
      <c r="EP413" s="1485"/>
      <c r="EQ413" s="1485"/>
      <c r="ER413" s="1485"/>
      <c r="ES413" s="1485"/>
      <c r="ET413" s="1485"/>
      <c r="EU413" s="1485"/>
      <c r="EV413" s="1485"/>
      <c r="EW413" s="1485"/>
      <c r="EX413" s="1486"/>
      <c r="EY413" s="1486"/>
      <c r="EZ413" s="1487"/>
      <c r="FA413" s="1487"/>
      <c r="FB413" s="1151"/>
      <c r="FC413" s="1151"/>
      <c r="FD413" s="1151"/>
      <c r="FE413" s="1151"/>
      <c r="FF413" s="1151"/>
      <c r="FG413" s="1151"/>
      <c r="FH413" s="1151"/>
      <c r="FI413" s="1151"/>
      <c r="FJ413" s="1151"/>
      <c r="FK413" s="1151"/>
      <c r="FL413" s="1151"/>
      <c r="FM413" s="1151"/>
      <c r="FN413" s="1151"/>
      <c r="FO413" s="1151"/>
      <c r="FP413" s="1151"/>
      <c r="FQ413" s="1151"/>
      <c r="FR413" s="1151"/>
      <c r="FS413" s="1151"/>
      <c r="FT413" s="1151"/>
      <c r="FU413" s="1151"/>
      <c r="FV413" s="1151"/>
      <c r="FW413" s="1151"/>
      <c r="FX413" s="1151"/>
      <c r="FY413" s="1488"/>
      <c r="FZ413" s="1488"/>
      <c r="GA413" s="1488"/>
      <c r="GB413" s="1485"/>
      <c r="GC413" s="1485"/>
      <c r="GD413" s="1485"/>
      <c r="GE413" s="1485"/>
      <c r="GF413" s="1485"/>
      <c r="GG413" s="1485"/>
      <c r="GH413" s="1485"/>
    </row>
    <row r="414" spans="144:190" s="1295" customFormat="1" x14ac:dyDescent="0.25">
      <c r="EN414" s="1485"/>
      <c r="EO414" s="1485"/>
      <c r="EP414" s="1485"/>
      <c r="EQ414" s="1485"/>
      <c r="ER414" s="1485"/>
      <c r="ES414" s="1485"/>
      <c r="ET414" s="1485"/>
      <c r="EU414" s="1485"/>
      <c r="EV414" s="1485"/>
      <c r="EW414" s="1485"/>
      <c r="EX414" s="1486"/>
      <c r="EY414" s="1486"/>
      <c r="EZ414" s="1487"/>
      <c r="FA414" s="1487"/>
      <c r="FB414" s="1151"/>
      <c r="FC414" s="1151"/>
      <c r="FD414" s="1151"/>
      <c r="FE414" s="1151"/>
      <c r="FF414" s="1151"/>
      <c r="FG414" s="1151"/>
      <c r="FH414" s="1151"/>
      <c r="FI414" s="1151"/>
      <c r="FJ414" s="1151"/>
      <c r="FK414" s="1151"/>
      <c r="FL414" s="1151"/>
      <c r="FM414" s="1151"/>
      <c r="FN414" s="1151"/>
      <c r="FO414" s="1151"/>
      <c r="FP414" s="1151"/>
      <c r="FQ414" s="1151"/>
      <c r="FR414" s="1151"/>
      <c r="FS414" s="1151"/>
      <c r="FT414" s="1151"/>
      <c r="FU414" s="1151"/>
      <c r="FV414" s="1151"/>
      <c r="FW414" s="1151"/>
      <c r="FX414" s="1151"/>
      <c r="FY414" s="1488"/>
      <c r="FZ414" s="1488"/>
      <c r="GA414" s="1488"/>
      <c r="GB414" s="1485"/>
      <c r="GC414" s="1485"/>
      <c r="GD414" s="1485"/>
      <c r="GE414" s="1485"/>
      <c r="GF414" s="1485"/>
      <c r="GG414" s="1485"/>
      <c r="GH414" s="1485"/>
    </row>
    <row r="415" spans="144:190" s="1295" customFormat="1" x14ac:dyDescent="0.25">
      <c r="EN415" s="1485"/>
      <c r="EO415" s="1485"/>
      <c r="EP415" s="1485"/>
      <c r="EQ415" s="1485"/>
      <c r="ER415" s="1485"/>
      <c r="ES415" s="1485"/>
      <c r="ET415" s="1485"/>
      <c r="EU415" s="1485"/>
      <c r="EV415" s="1485"/>
      <c r="EW415" s="1485"/>
      <c r="EX415" s="1486"/>
      <c r="EY415" s="1486"/>
      <c r="EZ415" s="1487"/>
      <c r="FA415" s="1487"/>
      <c r="FB415" s="1151"/>
      <c r="FC415" s="1151"/>
      <c r="FD415" s="1151"/>
      <c r="FE415" s="1151"/>
      <c r="FF415" s="1151"/>
      <c r="FG415" s="1151"/>
      <c r="FH415" s="1151"/>
      <c r="FI415" s="1151"/>
      <c r="FJ415" s="1151"/>
      <c r="FK415" s="1151"/>
      <c r="FL415" s="1151"/>
      <c r="FM415" s="1151"/>
      <c r="FN415" s="1151"/>
      <c r="FO415" s="1151"/>
      <c r="FP415" s="1151"/>
      <c r="FQ415" s="1151"/>
      <c r="FR415" s="1151"/>
      <c r="FS415" s="1151"/>
      <c r="FT415" s="1151"/>
      <c r="FU415" s="1151"/>
      <c r="FV415" s="1151"/>
      <c r="FW415" s="1151"/>
      <c r="FX415" s="1151"/>
      <c r="FY415" s="1488"/>
      <c r="FZ415" s="1488"/>
      <c r="GA415" s="1488"/>
      <c r="GB415" s="1485"/>
      <c r="GC415" s="1485"/>
      <c r="GD415" s="1485"/>
      <c r="GE415" s="1485"/>
      <c r="GF415" s="1485"/>
      <c r="GG415" s="1485"/>
      <c r="GH415" s="1485"/>
    </row>
    <row r="416" spans="144:190" s="1295" customFormat="1" x14ac:dyDescent="0.25">
      <c r="EN416" s="1485"/>
      <c r="EO416" s="1485"/>
      <c r="EP416" s="1485"/>
      <c r="EQ416" s="1485"/>
      <c r="ER416" s="1485"/>
      <c r="ES416" s="1485"/>
      <c r="ET416" s="1485"/>
      <c r="EU416" s="1485"/>
      <c r="EV416" s="1485"/>
      <c r="EW416" s="1485"/>
      <c r="EX416" s="1486"/>
      <c r="EY416" s="1486"/>
      <c r="EZ416" s="1487"/>
      <c r="FA416" s="1487"/>
      <c r="FB416" s="1151"/>
      <c r="FC416" s="1151"/>
      <c r="FD416" s="1151"/>
      <c r="FE416" s="1151"/>
      <c r="FF416" s="1151"/>
      <c r="FG416" s="1151"/>
      <c r="FH416" s="1151"/>
      <c r="FI416" s="1151"/>
      <c r="FJ416" s="1151"/>
      <c r="FK416" s="1151"/>
      <c r="FL416" s="1151"/>
      <c r="FM416" s="1151"/>
      <c r="FN416" s="1151"/>
      <c r="FO416" s="1151"/>
      <c r="FP416" s="1151"/>
      <c r="FQ416" s="1151"/>
      <c r="FR416" s="1151"/>
      <c r="FS416" s="1151"/>
      <c r="FT416" s="1151"/>
      <c r="FU416" s="1151"/>
      <c r="FV416" s="1151"/>
      <c r="FW416" s="1151"/>
      <c r="FX416" s="1151"/>
      <c r="FY416" s="1488"/>
      <c r="FZ416" s="1488"/>
      <c r="GA416" s="1488"/>
      <c r="GB416" s="1485"/>
      <c r="GC416" s="1485"/>
      <c r="GD416" s="1485"/>
      <c r="GE416" s="1485"/>
      <c r="GF416" s="1485"/>
      <c r="GG416" s="1485"/>
      <c r="GH416" s="1485"/>
    </row>
    <row r="417" spans="144:190" s="1295" customFormat="1" x14ac:dyDescent="0.25">
      <c r="EN417" s="1485"/>
      <c r="EO417" s="1485"/>
      <c r="EP417" s="1485"/>
      <c r="EQ417" s="1485"/>
      <c r="ER417" s="1485"/>
      <c r="ES417" s="1485"/>
      <c r="ET417" s="1485"/>
      <c r="EU417" s="1485"/>
      <c r="EV417" s="1485"/>
      <c r="EW417" s="1485"/>
      <c r="EX417" s="1486"/>
      <c r="EY417" s="1486"/>
      <c r="EZ417" s="1487"/>
      <c r="FA417" s="1487"/>
      <c r="FB417" s="1151"/>
      <c r="FC417" s="1151"/>
      <c r="FD417" s="1151"/>
      <c r="FE417" s="1151"/>
      <c r="FF417" s="1151"/>
      <c r="FG417" s="1151"/>
      <c r="FH417" s="1151"/>
      <c r="FI417" s="1151"/>
      <c r="FJ417" s="1151"/>
      <c r="FK417" s="1151"/>
      <c r="FL417" s="1151"/>
      <c r="FM417" s="1151"/>
      <c r="FN417" s="1151"/>
      <c r="FO417" s="1151"/>
      <c r="FP417" s="1151"/>
      <c r="FQ417" s="1151"/>
      <c r="FR417" s="1151"/>
      <c r="FS417" s="1151"/>
      <c r="FT417" s="1151"/>
      <c r="FU417" s="1151"/>
      <c r="FV417" s="1151"/>
      <c r="FW417" s="1151"/>
      <c r="FX417" s="1151"/>
      <c r="FY417" s="1488"/>
      <c r="FZ417" s="1488"/>
      <c r="GA417" s="1488"/>
      <c r="GB417" s="1485"/>
      <c r="GC417" s="1485"/>
      <c r="GD417" s="1485"/>
      <c r="GE417" s="1485"/>
      <c r="GF417" s="1485"/>
      <c r="GG417" s="1485"/>
      <c r="GH417" s="1485"/>
    </row>
    <row r="418" spans="144:190" s="1295" customFormat="1" x14ac:dyDescent="0.25">
      <c r="EN418" s="1485"/>
      <c r="EO418" s="1485"/>
      <c r="EP418" s="1485"/>
      <c r="EQ418" s="1485"/>
      <c r="ER418" s="1485"/>
      <c r="ES418" s="1485"/>
      <c r="ET418" s="1485"/>
      <c r="EU418" s="1485"/>
      <c r="EV418" s="1485"/>
      <c r="EW418" s="1485"/>
      <c r="EX418" s="1486"/>
      <c r="EY418" s="1486"/>
      <c r="EZ418" s="1487"/>
      <c r="FA418" s="1487"/>
      <c r="FB418" s="1151"/>
      <c r="FC418" s="1151"/>
      <c r="FD418" s="1151"/>
      <c r="FE418" s="1151"/>
      <c r="FF418" s="1151"/>
      <c r="FG418" s="1151"/>
      <c r="FH418" s="1151"/>
      <c r="FI418" s="1151"/>
      <c r="FJ418" s="1151"/>
      <c r="FK418" s="1151"/>
      <c r="FL418" s="1151"/>
      <c r="FM418" s="1151"/>
      <c r="FN418" s="1151"/>
      <c r="FO418" s="1151"/>
      <c r="FP418" s="1151"/>
      <c r="FQ418" s="1151"/>
      <c r="FR418" s="1151"/>
      <c r="FS418" s="1151"/>
      <c r="FT418" s="1151"/>
      <c r="FU418" s="1151"/>
      <c r="FV418" s="1151"/>
      <c r="FW418" s="1151"/>
      <c r="FX418" s="1151"/>
      <c r="FY418" s="1488"/>
      <c r="FZ418" s="1488"/>
      <c r="GA418" s="1488"/>
      <c r="GB418" s="1485"/>
      <c r="GC418" s="1485"/>
      <c r="GD418" s="1485"/>
      <c r="GE418" s="1485"/>
      <c r="GF418" s="1485"/>
      <c r="GG418" s="1485"/>
      <c r="GH418" s="1485"/>
    </row>
    <row r="419" spans="144:190" s="1295" customFormat="1" x14ac:dyDescent="0.25">
      <c r="EN419" s="1485"/>
      <c r="EO419" s="1485"/>
      <c r="EP419" s="1485"/>
      <c r="EQ419" s="1485"/>
      <c r="ER419" s="1485"/>
      <c r="ES419" s="1485"/>
      <c r="ET419" s="1485"/>
      <c r="EU419" s="1485"/>
      <c r="EV419" s="1485"/>
      <c r="EW419" s="1485"/>
      <c r="EX419" s="1486"/>
      <c r="EY419" s="1486"/>
      <c r="EZ419" s="1487"/>
      <c r="FA419" s="1487"/>
      <c r="FB419" s="1151"/>
      <c r="FC419" s="1151"/>
      <c r="FD419" s="1151"/>
      <c r="FE419" s="1151"/>
      <c r="FF419" s="1151"/>
      <c r="FG419" s="1151"/>
      <c r="FH419" s="1151"/>
      <c r="FI419" s="1151"/>
      <c r="FJ419" s="1151"/>
      <c r="FK419" s="1151"/>
      <c r="FL419" s="1151"/>
      <c r="FM419" s="1151"/>
      <c r="FN419" s="1151"/>
      <c r="FO419" s="1151"/>
      <c r="FP419" s="1151"/>
      <c r="FQ419" s="1151"/>
      <c r="FR419" s="1151"/>
      <c r="FS419" s="1151"/>
      <c r="FT419" s="1151"/>
      <c r="FU419" s="1151"/>
      <c r="FV419" s="1151"/>
      <c r="FW419" s="1151"/>
      <c r="FX419" s="1151"/>
      <c r="FY419" s="1488"/>
      <c r="FZ419" s="1488"/>
      <c r="GA419" s="1488"/>
      <c r="GB419" s="1485"/>
      <c r="GC419" s="1485"/>
      <c r="GD419" s="1485"/>
      <c r="GE419" s="1485"/>
      <c r="GF419" s="1485"/>
      <c r="GG419" s="1485"/>
      <c r="GH419" s="1485"/>
    </row>
    <row r="420" spans="144:190" s="1295" customFormat="1" x14ac:dyDescent="0.25">
      <c r="EN420" s="1485"/>
      <c r="EO420" s="1485"/>
      <c r="EP420" s="1485"/>
      <c r="EQ420" s="1485"/>
      <c r="ER420" s="1485"/>
      <c r="ES420" s="1485"/>
      <c r="ET420" s="1485"/>
      <c r="EU420" s="1485"/>
      <c r="EV420" s="1485"/>
      <c r="EW420" s="1485"/>
      <c r="EX420" s="1486"/>
      <c r="EY420" s="1486"/>
      <c r="EZ420" s="1487"/>
      <c r="FA420" s="1487"/>
      <c r="FB420" s="1151"/>
      <c r="FC420" s="1151"/>
      <c r="FD420" s="1151"/>
      <c r="FE420" s="1151"/>
      <c r="FF420" s="1151"/>
      <c r="FG420" s="1151"/>
      <c r="FH420" s="1151"/>
      <c r="FI420" s="1151"/>
      <c r="FJ420" s="1151"/>
      <c r="FK420" s="1151"/>
      <c r="FL420" s="1151"/>
      <c r="FM420" s="1151"/>
      <c r="FN420" s="1151"/>
      <c r="FO420" s="1151"/>
      <c r="FP420" s="1151"/>
      <c r="FQ420" s="1151"/>
      <c r="FR420" s="1151"/>
      <c r="FS420" s="1151"/>
      <c r="FT420" s="1151"/>
      <c r="FU420" s="1151"/>
      <c r="FV420" s="1151"/>
      <c r="FW420" s="1151"/>
      <c r="FX420" s="1151"/>
      <c r="FY420" s="1488"/>
      <c r="FZ420" s="1488"/>
      <c r="GA420" s="1488"/>
      <c r="GB420" s="1485"/>
      <c r="GC420" s="1485"/>
      <c r="GD420" s="1485"/>
      <c r="GE420" s="1485"/>
      <c r="GF420" s="1485"/>
      <c r="GG420" s="1485"/>
      <c r="GH420" s="1485"/>
    </row>
    <row r="421" spans="144:190" s="1295" customFormat="1" x14ac:dyDescent="0.25">
      <c r="EN421" s="1485"/>
      <c r="EO421" s="1485"/>
      <c r="EP421" s="1485"/>
      <c r="EQ421" s="1485"/>
      <c r="ER421" s="1485"/>
      <c r="ES421" s="1485"/>
      <c r="ET421" s="1485"/>
      <c r="EU421" s="1485"/>
      <c r="EV421" s="1485"/>
      <c r="EW421" s="1485"/>
      <c r="EX421" s="1486"/>
      <c r="EY421" s="1486"/>
      <c r="EZ421" s="1487"/>
      <c r="FA421" s="1487"/>
      <c r="FB421" s="1151"/>
      <c r="FC421" s="1151"/>
      <c r="FD421" s="1151"/>
      <c r="FE421" s="1151"/>
      <c r="FF421" s="1151"/>
      <c r="FG421" s="1151"/>
      <c r="FH421" s="1151"/>
      <c r="FI421" s="1151"/>
      <c r="FJ421" s="1151"/>
      <c r="FK421" s="1151"/>
      <c r="FL421" s="1151"/>
      <c r="FM421" s="1151"/>
      <c r="FN421" s="1151"/>
      <c r="FO421" s="1151"/>
      <c r="FP421" s="1151"/>
      <c r="FQ421" s="1151"/>
      <c r="FR421" s="1151"/>
      <c r="FS421" s="1151"/>
      <c r="FT421" s="1151"/>
      <c r="FU421" s="1151"/>
      <c r="FV421" s="1151"/>
      <c r="FW421" s="1151"/>
      <c r="FX421" s="1151"/>
      <c r="FY421" s="1488"/>
      <c r="FZ421" s="1488"/>
      <c r="GA421" s="1488"/>
      <c r="GB421" s="1485"/>
      <c r="GC421" s="1485"/>
      <c r="GD421" s="1485"/>
      <c r="GE421" s="1485"/>
      <c r="GF421" s="1485"/>
      <c r="GG421" s="1485"/>
      <c r="GH421" s="1485"/>
    </row>
    <row r="422" spans="144:190" s="1295" customFormat="1" x14ac:dyDescent="0.25">
      <c r="EN422" s="1485"/>
      <c r="EO422" s="1485"/>
      <c r="EP422" s="1485"/>
      <c r="EQ422" s="1485"/>
      <c r="ER422" s="1485"/>
      <c r="ES422" s="1485"/>
      <c r="ET422" s="1485"/>
      <c r="EU422" s="1485"/>
      <c r="EV422" s="1485"/>
      <c r="EW422" s="1485"/>
      <c r="EX422" s="1486"/>
      <c r="EY422" s="1486"/>
      <c r="EZ422" s="1487"/>
      <c r="FA422" s="1487"/>
      <c r="FB422" s="1151"/>
      <c r="FC422" s="1151"/>
      <c r="FD422" s="1151"/>
      <c r="FE422" s="1151"/>
      <c r="FF422" s="1151"/>
      <c r="FG422" s="1151"/>
      <c r="FH422" s="1151"/>
      <c r="FI422" s="1151"/>
      <c r="FJ422" s="1151"/>
      <c r="FK422" s="1151"/>
      <c r="FL422" s="1151"/>
      <c r="FM422" s="1151"/>
      <c r="FN422" s="1151"/>
      <c r="FO422" s="1151"/>
      <c r="FP422" s="1151"/>
      <c r="FQ422" s="1151"/>
      <c r="FR422" s="1151"/>
      <c r="FS422" s="1151"/>
      <c r="FT422" s="1151"/>
      <c r="FU422" s="1151"/>
      <c r="FV422" s="1151"/>
      <c r="FW422" s="1151"/>
      <c r="FX422" s="1151"/>
      <c r="FY422" s="1488"/>
      <c r="FZ422" s="1488"/>
      <c r="GA422" s="1488"/>
      <c r="GB422" s="1485"/>
      <c r="GC422" s="1485"/>
      <c r="GD422" s="1485"/>
      <c r="GE422" s="1485"/>
      <c r="GF422" s="1485"/>
      <c r="GG422" s="1485"/>
      <c r="GH422" s="1485"/>
    </row>
    <row r="423" spans="144:190" s="1295" customFormat="1" x14ac:dyDescent="0.25">
      <c r="EN423" s="1485"/>
      <c r="EO423" s="1485"/>
      <c r="EP423" s="1485"/>
      <c r="EQ423" s="1485"/>
      <c r="ER423" s="1485"/>
      <c r="ES423" s="1485"/>
      <c r="ET423" s="1485"/>
      <c r="EU423" s="1485"/>
      <c r="EV423" s="1485"/>
      <c r="EW423" s="1485"/>
      <c r="EX423" s="1486"/>
      <c r="EY423" s="1486"/>
      <c r="EZ423" s="1487"/>
      <c r="FA423" s="1487"/>
      <c r="FB423" s="1151"/>
      <c r="FC423" s="1151"/>
      <c r="FD423" s="1151"/>
      <c r="FE423" s="1151"/>
      <c r="FF423" s="1151"/>
      <c r="FG423" s="1151"/>
      <c r="FH423" s="1151"/>
      <c r="FI423" s="1151"/>
      <c r="FJ423" s="1151"/>
      <c r="FK423" s="1151"/>
      <c r="FL423" s="1151"/>
      <c r="FM423" s="1151"/>
      <c r="FN423" s="1151"/>
      <c r="FO423" s="1151"/>
      <c r="FP423" s="1151"/>
      <c r="FQ423" s="1151"/>
      <c r="FR423" s="1151"/>
      <c r="FS423" s="1151"/>
      <c r="FT423" s="1151"/>
      <c r="FU423" s="1151"/>
      <c r="FV423" s="1151"/>
      <c r="FW423" s="1151"/>
      <c r="FX423" s="1151"/>
      <c r="FY423" s="1488"/>
      <c r="FZ423" s="1488"/>
      <c r="GA423" s="1488"/>
      <c r="GB423" s="1485"/>
      <c r="GC423" s="1485"/>
      <c r="GD423" s="1485"/>
      <c r="GE423" s="1485"/>
      <c r="GF423" s="1485"/>
      <c r="GG423" s="1485"/>
      <c r="GH423" s="1485"/>
    </row>
    <row r="424" spans="144:190" s="1295" customFormat="1" x14ac:dyDescent="0.25">
      <c r="EN424" s="1485"/>
      <c r="EO424" s="1485"/>
      <c r="EP424" s="1485"/>
      <c r="EQ424" s="1485"/>
      <c r="ER424" s="1485"/>
      <c r="ES424" s="1485"/>
      <c r="ET424" s="1485"/>
      <c r="EU424" s="1485"/>
      <c r="EV424" s="1485"/>
      <c r="EW424" s="1485"/>
      <c r="EX424" s="1486"/>
      <c r="EY424" s="1486"/>
      <c r="EZ424" s="1487"/>
      <c r="FA424" s="1487"/>
      <c r="FB424" s="1151"/>
      <c r="FC424" s="1151"/>
      <c r="FD424" s="1151"/>
      <c r="FE424" s="1151"/>
      <c r="FF424" s="1151"/>
      <c r="FG424" s="1151"/>
      <c r="FH424" s="1151"/>
      <c r="FI424" s="1151"/>
      <c r="FJ424" s="1151"/>
      <c r="FK424" s="1151"/>
      <c r="FL424" s="1151"/>
      <c r="FM424" s="1151"/>
      <c r="FN424" s="1151"/>
      <c r="FO424" s="1151"/>
      <c r="FP424" s="1151"/>
      <c r="FQ424" s="1151"/>
      <c r="FR424" s="1151"/>
      <c r="FS424" s="1151"/>
      <c r="FT424" s="1151"/>
      <c r="FU424" s="1151"/>
      <c r="FV424" s="1151"/>
      <c r="FW424" s="1151"/>
      <c r="FX424" s="1151"/>
      <c r="FY424" s="1488"/>
      <c r="FZ424" s="1488"/>
      <c r="GA424" s="1488"/>
      <c r="GB424" s="1485"/>
      <c r="GC424" s="1485"/>
      <c r="GD424" s="1485"/>
      <c r="GE424" s="1485"/>
      <c r="GF424" s="1485"/>
      <c r="GG424" s="1485"/>
      <c r="GH424" s="1485"/>
    </row>
    <row r="425" spans="144:190" s="1295" customFormat="1" x14ac:dyDescent="0.25">
      <c r="EN425" s="1485"/>
      <c r="EO425" s="1485"/>
      <c r="EP425" s="1485"/>
      <c r="EQ425" s="1485"/>
      <c r="ER425" s="1485"/>
      <c r="ES425" s="1485"/>
      <c r="ET425" s="1485"/>
      <c r="EU425" s="1485"/>
      <c r="EV425" s="1485"/>
      <c r="EW425" s="1485"/>
      <c r="EX425" s="1486"/>
      <c r="EY425" s="1486"/>
      <c r="EZ425" s="1487"/>
      <c r="FA425" s="1487"/>
      <c r="FB425" s="1151"/>
      <c r="FC425" s="1151"/>
      <c r="FD425" s="1151"/>
      <c r="FE425" s="1151"/>
      <c r="FF425" s="1151"/>
      <c r="FG425" s="1151"/>
      <c r="FH425" s="1151"/>
      <c r="FI425" s="1151"/>
      <c r="FJ425" s="1151"/>
      <c r="FK425" s="1151"/>
      <c r="FL425" s="1151"/>
      <c r="FM425" s="1151"/>
      <c r="FN425" s="1151"/>
      <c r="FO425" s="1151"/>
      <c r="FP425" s="1151"/>
      <c r="FQ425" s="1151"/>
      <c r="FR425" s="1151"/>
      <c r="FS425" s="1151"/>
      <c r="FT425" s="1151"/>
      <c r="FU425" s="1151"/>
      <c r="FV425" s="1151"/>
      <c r="FW425" s="1151"/>
      <c r="FX425" s="1151"/>
      <c r="FY425" s="1488"/>
      <c r="FZ425" s="1488"/>
      <c r="GA425" s="1488"/>
      <c r="GB425" s="1485"/>
      <c r="GC425" s="1485"/>
      <c r="GD425" s="1485"/>
      <c r="GE425" s="1485"/>
      <c r="GF425" s="1485"/>
      <c r="GG425" s="1485"/>
      <c r="GH425" s="1485"/>
    </row>
    <row r="426" spans="144:190" s="1295" customFormat="1" x14ac:dyDescent="0.25">
      <c r="EN426" s="1485"/>
      <c r="EO426" s="1485"/>
      <c r="EP426" s="1485"/>
      <c r="EQ426" s="1485"/>
      <c r="ER426" s="1485"/>
      <c r="ES426" s="1485"/>
      <c r="ET426" s="1485"/>
      <c r="EU426" s="1485"/>
      <c r="EV426" s="1485"/>
      <c r="EW426" s="1485"/>
      <c r="EX426" s="1486"/>
      <c r="EY426" s="1486"/>
      <c r="EZ426" s="1487"/>
      <c r="FA426" s="1487"/>
      <c r="FB426" s="1151"/>
      <c r="FC426" s="1151"/>
      <c r="FD426" s="1151"/>
      <c r="FE426" s="1151"/>
      <c r="FF426" s="1151"/>
      <c r="FG426" s="1151"/>
      <c r="FH426" s="1151"/>
      <c r="FI426" s="1151"/>
      <c r="FJ426" s="1151"/>
      <c r="FK426" s="1151"/>
      <c r="FL426" s="1151"/>
      <c r="FM426" s="1151"/>
      <c r="FN426" s="1151"/>
      <c r="FO426" s="1151"/>
      <c r="FP426" s="1151"/>
      <c r="FQ426" s="1151"/>
      <c r="FR426" s="1151"/>
      <c r="FS426" s="1151"/>
      <c r="FT426" s="1151"/>
      <c r="FU426" s="1151"/>
      <c r="FV426" s="1151"/>
      <c r="FW426" s="1151"/>
      <c r="FX426" s="1151"/>
      <c r="FY426" s="1488"/>
      <c r="FZ426" s="1488"/>
      <c r="GA426" s="1488"/>
      <c r="GB426" s="1485"/>
      <c r="GC426" s="1485"/>
      <c r="GD426" s="1485"/>
      <c r="GE426" s="1485"/>
      <c r="GF426" s="1485"/>
      <c r="GG426" s="1485"/>
      <c r="GH426" s="1485"/>
    </row>
    <row r="427" spans="144:190" s="1295" customFormat="1" x14ac:dyDescent="0.25">
      <c r="EN427" s="1485"/>
      <c r="EO427" s="1485"/>
      <c r="EP427" s="1485"/>
      <c r="EQ427" s="1485"/>
      <c r="ER427" s="1485"/>
      <c r="ES427" s="1485"/>
      <c r="ET427" s="1485"/>
      <c r="EU427" s="1485"/>
      <c r="EV427" s="1485"/>
      <c r="EW427" s="1485"/>
      <c r="EX427" s="1486"/>
      <c r="EY427" s="1486"/>
      <c r="EZ427" s="1487"/>
      <c r="FA427" s="1487"/>
      <c r="FB427" s="1151"/>
      <c r="FC427" s="1151"/>
      <c r="FD427" s="1151"/>
      <c r="FE427" s="1151"/>
      <c r="FF427" s="1151"/>
      <c r="FG427" s="1151"/>
      <c r="FH427" s="1151"/>
      <c r="FI427" s="1151"/>
      <c r="FJ427" s="1151"/>
      <c r="FK427" s="1151"/>
      <c r="FL427" s="1151"/>
      <c r="FM427" s="1151"/>
      <c r="FN427" s="1151"/>
      <c r="FO427" s="1151"/>
      <c r="FP427" s="1151"/>
      <c r="FQ427" s="1151"/>
      <c r="FR427" s="1151"/>
      <c r="FS427" s="1151"/>
      <c r="FT427" s="1151"/>
      <c r="FU427" s="1151"/>
      <c r="FV427" s="1151"/>
      <c r="FW427" s="1151"/>
      <c r="FX427" s="1151"/>
      <c r="FY427" s="1488"/>
      <c r="FZ427" s="1488"/>
      <c r="GA427" s="1488"/>
      <c r="GB427" s="1485"/>
      <c r="GC427" s="1485"/>
      <c r="GD427" s="1485"/>
      <c r="GE427" s="1485"/>
      <c r="GF427" s="1485"/>
      <c r="GG427" s="1485"/>
      <c r="GH427" s="1485"/>
    </row>
    <row r="428" spans="144:190" s="1295" customFormat="1" x14ac:dyDescent="0.25">
      <c r="EN428" s="1485"/>
      <c r="EO428" s="1485"/>
      <c r="EP428" s="1485"/>
      <c r="EQ428" s="1485"/>
      <c r="ER428" s="1485"/>
      <c r="ES428" s="1485"/>
      <c r="ET428" s="1485"/>
      <c r="EU428" s="1485"/>
      <c r="EV428" s="1485"/>
      <c r="EW428" s="1485"/>
      <c r="EX428" s="1486"/>
      <c r="EY428" s="1486"/>
      <c r="EZ428" s="1487"/>
      <c r="FA428" s="1487"/>
      <c r="FB428" s="1151"/>
      <c r="FC428" s="1151"/>
      <c r="FD428" s="1151"/>
      <c r="FE428" s="1151"/>
      <c r="FF428" s="1151"/>
      <c r="FG428" s="1151"/>
      <c r="FH428" s="1151"/>
      <c r="FI428" s="1151"/>
      <c r="FJ428" s="1151"/>
      <c r="FK428" s="1151"/>
      <c r="FL428" s="1151"/>
      <c r="FM428" s="1151"/>
      <c r="FN428" s="1151"/>
      <c r="FO428" s="1151"/>
      <c r="FP428" s="1151"/>
      <c r="FQ428" s="1151"/>
      <c r="FR428" s="1151"/>
      <c r="FS428" s="1151"/>
      <c r="FT428" s="1151"/>
      <c r="FU428" s="1151"/>
      <c r="FV428" s="1151"/>
      <c r="FW428" s="1151"/>
      <c r="FX428" s="1151"/>
      <c r="FY428" s="1488"/>
      <c r="FZ428" s="1488"/>
      <c r="GA428" s="1488"/>
      <c r="GB428" s="1485"/>
      <c r="GC428" s="1485"/>
      <c r="GD428" s="1485"/>
      <c r="GE428" s="1485"/>
      <c r="GF428" s="1485"/>
      <c r="GG428" s="1485"/>
      <c r="GH428" s="1485"/>
    </row>
    <row r="429" spans="144:190" s="1295" customFormat="1" x14ac:dyDescent="0.25">
      <c r="EN429" s="1485"/>
      <c r="EO429" s="1485"/>
      <c r="EP429" s="1485"/>
      <c r="EQ429" s="1485"/>
      <c r="ER429" s="1485"/>
      <c r="ES429" s="1485"/>
      <c r="ET429" s="1485"/>
      <c r="EU429" s="1485"/>
      <c r="EV429" s="1485"/>
      <c r="EW429" s="1485"/>
      <c r="EX429" s="1486"/>
      <c r="EY429" s="1486"/>
      <c r="EZ429" s="1487"/>
      <c r="FA429" s="1487"/>
      <c r="FB429" s="1151"/>
      <c r="FC429" s="1151"/>
      <c r="FD429" s="1151"/>
      <c r="FE429" s="1151"/>
      <c r="FF429" s="1151"/>
      <c r="FG429" s="1151"/>
      <c r="FH429" s="1151"/>
      <c r="FI429" s="1151"/>
      <c r="FJ429" s="1151"/>
      <c r="FK429" s="1151"/>
      <c r="FL429" s="1151"/>
      <c r="FM429" s="1151"/>
      <c r="FN429" s="1151"/>
      <c r="FO429" s="1151"/>
      <c r="FP429" s="1151"/>
      <c r="FQ429" s="1151"/>
      <c r="FR429" s="1151"/>
      <c r="FS429" s="1151"/>
      <c r="FT429" s="1151"/>
      <c r="FU429" s="1151"/>
      <c r="FV429" s="1151"/>
      <c r="FW429" s="1151"/>
      <c r="FX429" s="1151"/>
      <c r="FY429" s="1488"/>
      <c r="FZ429" s="1488"/>
      <c r="GA429" s="1488"/>
      <c r="GB429" s="1485"/>
      <c r="GC429" s="1485"/>
      <c r="GD429" s="1485"/>
      <c r="GE429" s="1485"/>
      <c r="GF429" s="1485"/>
      <c r="GG429" s="1485"/>
      <c r="GH429" s="1485"/>
    </row>
    <row r="430" spans="144:190" s="1295" customFormat="1" x14ac:dyDescent="0.25">
      <c r="EN430" s="1485"/>
      <c r="EO430" s="1485"/>
      <c r="EP430" s="1485"/>
      <c r="EQ430" s="1485"/>
      <c r="ER430" s="1485"/>
      <c r="ES430" s="1485"/>
      <c r="ET430" s="1485"/>
      <c r="EU430" s="1485"/>
      <c r="EV430" s="1485"/>
      <c r="EW430" s="1485"/>
      <c r="EX430" s="1486"/>
      <c r="EY430" s="1486"/>
      <c r="EZ430" s="1487"/>
      <c r="FA430" s="1487"/>
      <c r="FB430" s="1151"/>
      <c r="FC430" s="1151"/>
      <c r="FD430" s="1151"/>
      <c r="FE430" s="1151"/>
      <c r="FF430" s="1151"/>
      <c r="FG430" s="1151"/>
      <c r="FH430" s="1151"/>
      <c r="FI430" s="1151"/>
      <c r="FJ430" s="1151"/>
      <c r="FK430" s="1151"/>
      <c r="FL430" s="1151"/>
      <c r="FM430" s="1151"/>
      <c r="FN430" s="1151"/>
      <c r="FO430" s="1151"/>
      <c r="FP430" s="1151"/>
      <c r="FQ430" s="1151"/>
      <c r="FR430" s="1151"/>
      <c r="FS430" s="1151"/>
      <c r="FT430" s="1151"/>
      <c r="FU430" s="1151"/>
      <c r="FV430" s="1151"/>
      <c r="FW430" s="1151"/>
      <c r="FX430" s="1151"/>
      <c r="FY430" s="1488"/>
      <c r="FZ430" s="1488"/>
      <c r="GA430" s="1488"/>
      <c r="GB430" s="1485"/>
      <c r="GC430" s="1485"/>
      <c r="GD430" s="1485"/>
      <c r="GE430" s="1485"/>
      <c r="GF430" s="1485"/>
      <c r="GG430" s="1485"/>
      <c r="GH430" s="1485"/>
    </row>
    <row r="431" spans="144:190" s="1295" customFormat="1" x14ac:dyDescent="0.25">
      <c r="EN431" s="1485"/>
      <c r="EO431" s="1485"/>
      <c r="EP431" s="1485"/>
      <c r="EQ431" s="1485"/>
      <c r="ER431" s="1485"/>
      <c r="ES431" s="1485"/>
      <c r="ET431" s="1485"/>
      <c r="EU431" s="1485"/>
      <c r="EV431" s="1485"/>
      <c r="EW431" s="1485"/>
      <c r="EX431" s="1486"/>
      <c r="EY431" s="1486"/>
      <c r="EZ431" s="1487"/>
      <c r="FA431" s="1487"/>
      <c r="FB431" s="1151"/>
      <c r="FC431" s="1151"/>
      <c r="FD431" s="1151"/>
      <c r="FE431" s="1151"/>
      <c r="FF431" s="1151"/>
      <c r="FG431" s="1151"/>
      <c r="FH431" s="1151"/>
      <c r="FI431" s="1151"/>
      <c r="FJ431" s="1151"/>
      <c r="FK431" s="1151"/>
      <c r="FL431" s="1151"/>
      <c r="FM431" s="1151"/>
      <c r="FN431" s="1151"/>
      <c r="FO431" s="1151"/>
      <c r="FP431" s="1151"/>
      <c r="FQ431" s="1151"/>
      <c r="FR431" s="1151"/>
      <c r="FS431" s="1151"/>
      <c r="FT431" s="1151"/>
      <c r="FU431" s="1151"/>
      <c r="FV431" s="1151"/>
      <c r="FW431" s="1151"/>
      <c r="FX431" s="1151"/>
      <c r="FY431" s="1488"/>
      <c r="FZ431" s="1488"/>
      <c r="GA431" s="1488"/>
      <c r="GB431" s="1485"/>
      <c r="GC431" s="1485"/>
      <c r="GD431" s="1485"/>
      <c r="GE431" s="1485"/>
      <c r="GF431" s="1485"/>
      <c r="GG431" s="1485"/>
      <c r="GH431" s="1485"/>
    </row>
    <row r="432" spans="144:190" s="1295" customFormat="1" x14ac:dyDescent="0.25">
      <c r="EN432" s="1485"/>
      <c r="EO432" s="1485"/>
      <c r="EP432" s="1485"/>
      <c r="EQ432" s="1485"/>
      <c r="ER432" s="1485"/>
      <c r="ES432" s="1485"/>
      <c r="ET432" s="1485"/>
      <c r="EU432" s="1485"/>
      <c r="EV432" s="1485"/>
      <c r="EW432" s="1485"/>
      <c r="EX432" s="1486"/>
      <c r="EY432" s="1486"/>
      <c r="EZ432" s="1487"/>
      <c r="FA432" s="1487"/>
      <c r="FB432" s="1151"/>
      <c r="FC432" s="1151"/>
      <c r="FD432" s="1151"/>
      <c r="FE432" s="1151"/>
      <c r="FF432" s="1151"/>
      <c r="FG432" s="1151"/>
      <c r="FH432" s="1151"/>
      <c r="FI432" s="1151"/>
      <c r="FJ432" s="1151"/>
      <c r="FK432" s="1151"/>
      <c r="FL432" s="1151"/>
      <c r="FM432" s="1151"/>
      <c r="FN432" s="1151"/>
      <c r="FO432" s="1151"/>
      <c r="FP432" s="1151"/>
      <c r="FQ432" s="1151"/>
      <c r="FR432" s="1151"/>
      <c r="FS432" s="1151"/>
      <c r="FT432" s="1151"/>
      <c r="FU432" s="1151"/>
      <c r="FV432" s="1151"/>
      <c r="FW432" s="1151"/>
      <c r="FX432" s="1151"/>
      <c r="FY432" s="1488"/>
      <c r="FZ432" s="1488"/>
      <c r="GA432" s="1488"/>
      <c r="GB432" s="1485"/>
      <c r="GC432" s="1485"/>
      <c r="GD432" s="1485"/>
      <c r="GE432" s="1485"/>
      <c r="GF432" s="1485"/>
      <c r="GG432" s="1485"/>
      <c r="GH432" s="1485"/>
    </row>
    <row r="433" spans="144:190" s="1295" customFormat="1" x14ac:dyDescent="0.25">
      <c r="EN433" s="1485"/>
      <c r="EO433" s="1485"/>
      <c r="EP433" s="1485"/>
      <c r="EQ433" s="1485"/>
      <c r="ER433" s="1485"/>
      <c r="ES433" s="1485"/>
      <c r="ET433" s="1485"/>
      <c r="EU433" s="1485"/>
      <c r="EV433" s="1485"/>
      <c r="EW433" s="1485"/>
      <c r="EX433" s="1486"/>
      <c r="EY433" s="1486"/>
      <c r="EZ433" s="1487"/>
      <c r="FA433" s="1487"/>
      <c r="FB433" s="1151"/>
      <c r="FC433" s="1151"/>
      <c r="FD433" s="1151"/>
      <c r="FE433" s="1151"/>
      <c r="FF433" s="1151"/>
      <c r="FG433" s="1151"/>
      <c r="FH433" s="1151"/>
      <c r="FI433" s="1151"/>
      <c r="FJ433" s="1151"/>
      <c r="FK433" s="1151"/>
      <c r="FL433" s="1151"/>
      <c r="FM433" s="1151"/>
      <c r="FN433" s="1151"/>
      <c r="FO433" s="1151"/>
      <c r="FP433" s="1151"/>
      <c r="FQ433" s="1151"/>
      <c r="FR433" s="1151"/>
      <c r="FS433" s="1151"/>
      <c r="FT433" s="1151"/>
      <c r="FU433" s="1151"/>
      <c r="FV433" s="1151"/>
      <c r="FW433" s="1151"/>
      <c r="FX433" s="1151"/>
      <c r="FY433" s="1488"/>
      <c r="FZ433" s="1488"/>
      <c r="GA433" s="1488"/>
      <c r="GB433" s="1485"/>
      <c r="GC433" s="1485"/>
      <c r="GD433" s="1485"/>
      <c r="GE433" s="1485"/>
      <c r="GF433" s="1485"/>
      <c r="GG433" s="1485"/>
      <c r="GH433" s="1485"/>
    </row>
    <row r="434" spans="144:190" s="1295" customFormat="1" x14ac:dyDescent="0.25">
      <c r="EN434" s="1485"/>
      <c r="EO434" s="1485"/>
      <c r="EP434" s="1485"/>
      <c r="EQ434" s="1485"/>
      <c r="ER434" s="1485"/>
      <c r="ES434" s="1485"/>
      <c r="ET434" s="1485"/>
      <c r="EU434" s="1485"/>
      <c r="EV434" s="1485"/>
      <c r="EW434" s="1485"/>
      <c r="EX434" s="1486"/>
      <c r="EY434" s="1486"/>
      <c r="EZ434" s="1487"/>
      <c r="FA434" s="1487"/>
      <c r="FB434" s="1151"/>
      <c r="FC434" s="1151"/>
      <c r="FD434" s="1151"/>
      <c r="FE434" s="1151"/>
      <c r="FF434" s="1151"/>
      <c r="FG434" s="1151"/>
      <c r="FH434" s="1151"/>
      <c r="FI434" s="1151"/>
      <c r="FJ434" s="1151"/>
      <c r="FK434" s="1151"/>
      <c r="FL434" s="1151"/>
      <c r="FM434" s="1151"/>
      <c r="FN434" s="1151"/>
      <c r="FO434" s="1151"/>
      <c r="FP434" s="1151"/>
      <c r="FQ434" s="1151"/>
      <c r="FR434" s="1151"/>
      <c r="FS434" s="1151"/>
      <c r="FT434" s="1151"/>
      <c r="FU434" s="1151"/>
      <c r="FV434" s="1151"/>
      <c r="FW434" s="1151"/>
      <c r="FX434" s="1151"/>
      <c r="FY434" s="1488"/>
      <c r="FZ434" s="1488"/>
      <c r="GA434" s="1488"/>
      <c r="GB434" s="1485"/>
      <c r="GC434" s="1485"/>
      <c r="GD434" s="1485"/>
      <c r="GE434" s="1485"/>
      <c r="GF434" s="1485"/>
      <c r="GG434" s="1485"/>
      <c r="GH434" s="1485"/>
    </row>
    <row r="435" spans="144:190" s="1295" customFormat="1" x14ac:dyDescent="0.25">
      <c r="EN435" s="1485"/>
      <c r="EO435" s="1485"/>
      <c r="EP435" s="1485"/>
      <c r="EQ435" s="1485"/>
      <c r="ER435" s="1485"/>
      <c r="ES435" s="1485"/>
      <c r="ET435" s="1485"/>
      <c r="EU435" s="1485"/>
      <c r="EV435" s="1485"/>
      <c r="EW435" s="1485"/>
      <c r="EX435" s="1486"/>
      <c r="EY435" s="1486"/>
      <c r="EZ435" s="1487"/>
      <c r="FA435" s="1487"/>
      <c r="FB435" s="1151"/>
      <c r="FC435" s="1151"/>
      <c r="FD435" s="1151"/>
      <c r="FE435" s="1151"/>
      <c r="FF435" s="1151"/>
      <c r="FG435" s="1151"/>
      <c r="FH435" s="1151"/>
      <c r="FI435" s="1151"/>
      <c r="FJ435" s="1151"/>
      <c r="FK435" s="1151"/>
      <c r="FL435" s="1151"/>
      <c r="FM435" s="1151"/>
      <c r="FN435" s="1151"/>
      <c r="FO435" s="1151"/>
      <c r="FP435" s="1151"/>
      <c r="FQ435" s="1151"/>
      <c r="FR435" s="1151"/>
      <c r="FS435" s="1151"/>
      <c r="FT435" s="1151"/>
      <c r="FU435" s="1151"/>
      <c r="FV435" s="1151"/>
      <c r="FW435" s="1151"/>
      <c r="FX435" s="1151"/>
      <c r="FY435" s="1488"/>
      <c r="FZ435" s="1488"/>
      <c r="GA435" s="1488"/>
      <c r="GB435" s="1485"/>
      <c r="GC435" s="1485"/>
      <c r="GD435" s="1485"/>
      <c r="GE435" s="1485"/>
      <c r="GF435" s="1485"/>
      <c r="GG435" s="1485"/>
      <c r="GH435" s="1485"/>
    </row>
    <row r="436" spans="144:190" s="1295" customFormat="1" x14ac:dyDescent="0.25">
      <c r="EN436" s="1485"/>
      <c r="EO436" s="1485"/>
      <c r="EP436" s="1485"/>
      <c r="EQ436" s="1485"/>
      <c r="ER436" s="1485"/>
      <c r="ES436" s="1485"/>
      <c r="ET436" s="1485"/>
      <c r="EU436" s="1485"/>
      <c r="EV436" s="1485"/>
      <c r="EW436" s="1485"/>
      <c r="EX436" s="1486"/>
      <c r="EY436" s="1486"/>
      <c r="EZ436" s="1487"/>
      <c r="FA436" s="1487"/>
      <c r="FB436" s="1151"/>
      <c r="FC436" s="1151"/>
      <c r="FD436" s="1151"/>
      <c r="FE436" s="1151"/>
      <c r="FF436" s="1151"/>
      <c r="FG436" s="1151"/>
      <c r="FH436" s="1151"/>
      <c r="FI436" s="1151"/>
      <c r="FJ436" s="1151"/>
      <c r="FK436" s="1151"/>
      <c r="FL436" s="1151"/>
      <c r="FM436" s="1151"/>
      <c r="FN436" s="1151"/>
      <c r="FO436" s="1151"/>
      <c r="FP436" s="1151"/>
      <c r="FQ436" s="1151"/>
      <c r="FR436" s="1151"/>
      <c r="FS436" s="1151"/>
      <c r="FT436" s="1151"/>
      <c r="FU436" s="1151"/>
      <c r="FV436" s="1151"/>
      <c r="FW436" s="1151"/>
      <c r="FX436" s="1151"/>
      <c r="FY436" s="1488"/>
      <c r="FZ436" s="1488"/>
      <c r="GA436" s="1488"/>
      <c r="GB436" s="1485"/>
      <c r="GC436" s="1485"/>
      <c r="GD436" s="1485"/>
      <c r="GE436" s="1485"/>
      <c r="GF436" s="1485"/>
      <c r="GG436" s="1485"/>
      <c r="GH436" s="1485"/>
    </row>
    <row r="437" spans="144:190" s="1295" customFormat="1" x14ac:dyDescent="0.25">
      <c r="EN437" s="1485"/>
      <c r="EO437" s="1485"/>
      <c r="EP437" s="1485"/>
      <c r="EQ437" s="1485"/>
      <c r="ER437" s="1485"/>
      <c r="ES437" s="1485"/>
      <c r="ET437" s="1485"/>
      <c r="EU437" s="1485"/>
      <c r="EV437" s="1485"/>
      <c r="EW437" s="1485"/>
      <c r="EX437" s="1486"/>
      <c r="EY437" s="1486"/>
      <c r="EZ437" s="1487"/>
      <c r="FA437" s="1487"/>
      <c r="FB437" s="1151"/>
      <c r="FC437" s="1151"/>
      <c r="FD437" s="1151"/>
      <c r="FE437" s="1151"/>
      <c r="FF437" s="1151"/>
      <c r="FG437" s="1151"/>
      <c r="FH437" s="1151"/>
      <c r="FI437" s="1151"/>
      <c r="FJ437" s="1151"/>
      <c r="FK437" s="1151"/>
      <c r="FL437" s="1151"/>
      <c r="FM437" s="1151"/>
      <c r="FN437" s="1151"/>
      <c r="FO437" s="1151"/>
      <c r="FP437" s="1151"/>
      <c r="FQ437" s="1151"/>
      <c r="FR437" s="1151"/>
      <c r="FS437" s="1151"/>
      <c r="FT437" s="1151"/>
      <c r="FU437" s="1151"/>
      <c r="FV437" s="1151"/>
      <c r="FW437" s="1151"/>
      <c r="FX437" s="1151"/>
      <c r="FY437" s="1488"/>
      <c r="FZ437" s="1488"/>
      <c r="GA437" s="1488"/>
      <c r="GB437" s="1485"/>
      <c r="GC437" s="1485"/>
      <c r="GD437" s="1485"/>
      <c r="GE437" s="1485"/>
      <c r="GF437" s="1485"/>
      <c r="GG437" s="1485"/>
      <c r="GH437" s="1485"/>
    </row>
    <row r="438" spans="144:190" s="1295" customFormat="1" x14ac:dyDescent="0.25">
      <c r="EN438" s="1485"/>
      <c r="EO438" s="1485"/>
      <c r="EP438" s="1485"/>
      <c r="EQ438" s="1485"/>
      <c r="ER438" s="1485"/>
      <c r="ES438" s="1485"/>
      <c r="ET438" s="1485"/>
      <c r="EU438" s="1485"/>
      <c r="EV438" s="1485"/>
      <c r="EW438" s="1485"/>
      <c r="EX438" s="1486"/>
      <c r="EY438" s="1486"/>
      <c r="EZ438" s="1487"/>
      <c r="FA438" s="1487"/>
      <c r="FB438" s="1151"/>
      <c r="FC438" s="1151"/>
      <c r="FD438" s="1151"/>
      <c r="FE438" s="1151"/>
      <c r="FF438" s="1151"/>
      <c r="FG438" s="1151"/>
      <c r="FH438" s="1151"/>
      <c r="FI438" s="1151"/>
      <c r="FJ438" s="1151"/>
      <c r="FK438" s="1151"/>
      <c r="FL438" s="1151"/>
      <c r="FM438" s="1151"/>
      <c r="FN438" s="1151"/>
      <c r="FO438" s="1151"/>
      <c r="FP438" s="1151"/>
      <c r="FQ438" s="1151"/>
      <c r="FR438" s="1151"/>
      <c r="FS438" s="1151"/>
      <c r="FT438" s="1151"/>
      <c r="FU438" s="1151"/>
      <c r="FV438" s="1151"/>
      <c r="FW438" s="1151"/>
      <c r="FX438" s="1151"/>
      <c r="FY438" s="1488"/>
      <c r="FZ438" s="1488"/>
      <c r="GA438" s="1488"/>
      <c r="GB438" s="1485"/>
      <c r="GC438" s="1485"/>
      <c r="GD438" s="1485"/>
      <c r="GE438" s="1485"/>
      <c r="GF438" s="1485"/>
      <c r="GG438" s="1485"/>
      <c r="GH438" s="1485"/>
    </row>
    <row r="439" spans="144:190" s="1295" customFormat="1" x14ac:dyDescent="0.25">
      <c r="EN439" s="1485"/>
      <c r="EO439" s="1485"/>
      <c r="EP439" s="1485"/>
      <c r="EQ439" s="1485"/>
      <c r="ER439" s="1485"/>
      <c r="ES439" s="1485"/>
      <c r="ET439" s="1485"/>
      <c r="EU439" s="1485"/>
      <c r="EV439" s="1485"/>
      <c r="EW439" s="1485"/>
      <c r="EX439" s="1486"/>
      <c r="EY439" s="1486"/>
      <c r="EZ439" s="1487"/>
      <c r="FA439" s="1487"/>
      <c r="FB439" s="1151"/>
      <c r="FC439" s="1151"/>
      <c r="FD439" s="1151"/>
      <c r="FE439" s="1151"/>
      <c r="FF439" s="1151"/>
      <c r="FG439" s="1151"/>
      <c r="FH439" s="1151"/>
      <c r="FI439" s="1151"/>
      <c r="FJ439" s="1151"/>
      <c r="FK439" s="1151"/>
      <c r="FL439" s="1151"/>
      <c r="FM439" s="1151"/>
      <c r="FN439" s="1151"/>
      <c r="FO439" s="1151"/>
      <c r="FP439" s="1151"/>
      <c r="FQ439" s="1151"/>
      <c r="FR439" s="1151"/>
      <c r="FS439" s="1151"/>
      <c r="FT439" s="1151"/>
      <c r="FU439" s="1151"/>
      <c r="FV439" s="1151"/>
      <c r="FW439" s="1151"/>
      <c r="FX439" s="1151"/>
      <c r="FY439" s="1488"/>
      <c r="FZ439" s="1488"/>
      <c r="GA439" s="1488"/>
      <c r="GB439" s="1485"/>
      <c r="GC439" s="1485"/>
      <c r="GD439" s="1485"/>
      <c r="GE439" s="1485"/>
      <c r="GF439" s="1485"/>
      <c r="GG439" s="1485"/>
      <c r="GH439" s="1485"/>
    </row>
    <row r="440" spans="144:190" s="1295" customFormat="1" x14ac:dyDescent="0.25">
      <c r="EN440" s="1485"/>
      <c r="EO440" s="1485"/>
      <c r="EP440" s="1485"/>
      <c r="EQ440" s="1485"/>
      <c r="ER440" s="1485"/>
      <c r="ES440" s="1485"/>
      <c r="ET440" s="1485"/>
      <c r="EU440" s="1485"/>
      <c r="EV440" s="1485"/>
      <c r="EW440" s="1485"/>
      <c r="EX440" s="1486"/>
      <c r="EY440" s="1486"/>
      <c r="EZ440" s="1487"/>
      <c r="FA440" s="1487"/>
      <c r="FB440" s="1151"/>
      <c r="FC440" s="1151"/>
      <c r="FD440" s="1151"/>
      <c r="FE440" s="1151"/>
      <c r="FF440" s="1151"/>
      <c r="FG440" s="1151"/>
      <c r="FH440" s="1151"/>
      <c r="FI440" s="1151"/>
      <c r="FJ440" s="1151"/>
      <c r="FK440" s="1151"/>
      <c r="FL440" s="1151"/>
      <c r="FM440" s="1151"/>
      <c r="FN440" s="1151"/>
      <c r="FO440" s="1151"/>
      <c r="FP440" s="1151"/>
      <c r="FQ440" s="1151"/>
      <c r="FR440" s="1151"/>
      <c r="FS440" s="1151"/>
      <c r="FT440" s="1151"/>
      <c r="FU440" s="1151"/>
      <c r="FV440" s="1151"/>
      <c r="FW440" s="1151"/>
      <c r="FX440" s="1151"/>
      <c r="FY440" s="1488"/>
      <c r="FZ440" s="1488"/>
      <c r="GA440" s="1488"/>
      <c r="GB440" s="1485"/>
      <c r="GC440" s="1485"/>
      <c r="GD440" s="1485"/>
      <c r="GE440" s="1485"/>
      <c r="GF440" s="1485"/>
      <c r="GG440" s="1485"/>
      <c r="GH440" s="1485"/>
    </row>
    <row r="441" spans="144:190" s="1295" customFormat="1" x14ac:dyDescent="0.25">
      <c r="EN441" s="1485"/>
      <c r="EO441" s="1485"/>
      <c r="EP441" s="1485"/>
      <c r="EQ441" s="1485"/>
      <c r="ER441" s="1485"/>
      <c r="ES441" s="1485"/>
      <c r="ET441" s="1485"/>
      <c r="EU441" s="1485"/>
      <c r="EV441" s="1485"/>
      <c r="EW441" s="1485"/>
      <c r="EX441" s="1486"/>
      <c r="EY441" s="1486"/>
      <c r="EZ441" s="1487"/>
      <c r="FA441" s="1487"/>
      <c r="FB441" s="1151"/>
      <c r="FC441" s="1151"/>
      <c r="FD441" s="1151"/>
      <c r="FE441" s="1151"/>
      <c r="FF441" s="1151"/>
      <c r="FG441" s="1151"/>
      <c r="FH441" s="1151"/>
      <c r="FI441" s="1151"/>
      <c r="FJ441" s="1151"/>
      <c r="FK441" s="1151"/>
      <c r="FL441" s="1151"/>
      <c r="FM441" s="1151"/>
      <c r="FN441" s="1151"/>
      <c r="FO441" s="1151"/>
      <c r="FP441" s="1151"/>
      <c r="FQ441" s="1151"/>
      <c r="FR441" s="1151"/>
      <c r="FS441" s="1151"/>
      <c r="FT441" s="1151"/>
      <c r="FU441" s="1151"/>
      <c r="FV441" s="1151"/>
      <c r="FW441" s="1151"/>
      <c r="FX441" s="1151"/>
      <c r="FY441" s="1488"/>
      <c r="FZ441" s="1488"/>
      <c r="GA441" s="1488"/>
      <c r="GB441" s="1485"/>
      <c r="GC441" s="1485"/>
      <c r="GD441" s="1485"/>
      <c r="GE441" s="1485"/>
      <c r="GF441" s="1485"/>
      <c r="GG441" s="1485"/>
      <c r="GH441" s="1485"/>
    </row>
    <row r="442" spans="144:190" s="1295" customFormat="1" x14ac:dyDescent="0.25">
      <c r="EN442" s="1485"/>
      <c r="EO442" s="1485"/>
      <c r="EP442" s="1485"/>
      <c r="EQ442" s="1485"/>
      <c r="ER442" s="1485"/>
      <c r="ES442" s="1485"/>
      <c r="ET442" s="1485"/>
      <c r="EU442" s="1485"/>
      <c r="EV442" s="1485"/>
      <c r="EW442" s="1485"/>
      <c r="EX442" s="1486"/>
      <c r="EY442" s="1486"/>
      <c r="EZ442" s="1487"/>
      <c r="FA442" s="1487"/>
      <c r="FB442" s="1151"/>
      <c r="FC442" s="1151"/>
      <c r="FD442" s="1151"/>
      <c r="FE442" s="1151"/>
      <c r="FF442" s="1151"/>
      <c r="FG442" s="1151"/>
      <c r="FH442" s="1151"/>
      <c r="FI442" s="1151"/>
      <c r="FJ442" s="1151"/>
      <c r="FK442" s="1151"/>
      <c r="FL442" s="1151"/>
      <c r="FM442" s="1151"/>
      <c r="FN442" s="1151"/>
      <c r="FO442" s="1151"/>
      <c r="FP442" s="1151"/>
      <c r="FQ442" s="1151"/>
      <c r="FR442" s="1151"/>
      <c r="FS442" s="1151"/>
      <c r="FT442" s="1151"/>
      <c r="FU442" s="1151"/>
      <c r="FV442" s="1151"/>
      <c r="FW442" s="1151"/>
      <c r="FX442" s="1151"/>
      <c r="FY442" s="1488"/>
      <c r="FZ442" s="1488"/>
      <c r="GA442" s="1488"/>
      <c r="GB442" s="1485"/>
      <c r="GC442" s="1485"/>
      <c r="GD442" s="1485"/>
      <c r="GE442" s="1485"/>
      <c r="GF442" s="1485"/>
      <c r="GG442" s="1485"/>
      <c r="GH442" s="1485"/>
    </row>
    <row r="443" spans="144:190" s="1295" customFormat="1" x14ac:dyDescent="0.25">
      <c r="EN443" s="1485"/>
      <c r="EO443" s="1485"/>
      <c r="EP443" s="1485"/>
      <c r="EQ443" s="1485"/>
      <c r="ER443" s="1485"/>
      <c r="ES443" s="1485"/>
      <c r="ET443" s="1485"/>
      <c r="EU443" s="1485"/>
      <c r="EV443" s="1485"/>
      <c r="EW443" s="1485"/>
      <c r="EX443" s="1486"/>
      <c r="EY443" s="1486"/>
      <c r="EZ443" s="1487"/>
      <c r="FA443" s="1487"/>
      <c r="FB443" s="1151"/>
      <c r="FC443" s="1151"/>
      <c r="FD443" s="1151"/>
      <c r="FE443" s="1151"/>
      <c r="FF443" s="1151"/>
      <c r="FG443" s="1151"/>
      <c r="FH443" s="1151"/>
      <c r="FI443" s="1151"/>
      <c r="FJ443" s="1151"/>
      <c r="FK443" s="1151"/>
      <c r="FL443" s="1151"/>
      <c r="FM443" s="1151"/>
      <c r="FN443" s="1151"/>
      <c r="FO443" s="1151"/>
      <c r="FP443" s="1151"/>
      <c r="FQ443" s="1151"/>
      <c r="FR443" s="1151"/>
      <c r="FS443" s="1151"/>
      <c r="FT443" s="1151"/>
      <c r="FU443" s="1151"/>
      <c r="FV443" s="1151"/>
      <c r="FW443" s="1151"/>
      <c r="FX443" s="1151"/>
      <c r="FY443" s="1488"/>
      <c r="FZ443" s="1488"/>
      <c r="GA443" s="1488"/>
      <c r="GB443" s="1485"/>
      <c r="GC443" s="1485"/>
      <c r="GD443" s="1485"/>
      <c r="GE443" s="1485"/>
      <c r="GF443" s="1485"/>
      <c r="GG443" s="1485"/>
      <c r="GH443" s="1485"/>
    </row>
    <row r="444" spans="144:190" s="1295" customFormat="1" x14ac:dyDescent="0.25">
      <c r="EN444" s="1485"/>
      <c r="EO444" s="1485"/>
      <c r="EP444" s="1485"/>
      <c r="EQ444" s="1485"/>
      <c r="ER444" s="1485"/>
      <c r="ES444" s="1485"/>
      <c r="ET444" s="1485"/>
      <c r="EU444" s="1485"/>
      <c r="EV444" s="1485"/>
      <c r="EW444" s="1485"/>
      <c r="EX444" s="1486"/>
      <c r="EY444" s="1486"/>
      <c r="EZ444" s="1487"/>
      <c r="FA444" s="1487"/>
      <c r="FB444" s="1151"/>
      <c r="FC444" s="1151"/>
      <c r="FD444" s="1151"/>
      <c r="FE444" s="1151"/>
      <c r="FF444" s="1151"/>
      <c r="FG444" s="1151"/>
      <c r="FH444" s="1151"/>
      <c r="FI444" s="1151"/>
      <c r="FJ444" s="1151"/>
      <c r="FK444" s="1151"/>
      <c r="FL444" s="1151"/>
      <c r="FM444" s="1151"/>
      <c r="FN444" s="1151"/>
      <c r="FO444" s="1151"/>
      <c r="FP444" s="1151"/>
      <c r="FQ444" s="1151"/>
      <c r="FR444" s="1151"/>
      <c r="FS444" s="1151"/>
      <c r="FT444" s="1151"/>
      <c r="FU444" s="1151"/>
      <c r="FV444" s="1151"/>
      <c r="FW444" s="1151"/>
      <c r="FX444" s="1151"/>
      <c r="FY444" s="1488"/>
      <c r="FZ444" s="1488"/>
      <c r="GA444" s="1488"/>
      <c r="GB444" s="1485"/>
      <c r="GC444" s="1485"/>
      <c r="GD444" s="1485"/>
      <c r="GE444" s="1485"/>
      <c r="GF444" s="1485"/>
      <c r="GG444" s="1485"/>
      <c r="GH444" s="1485"/>
    </row>
    <row r="445" spans="144:190" s="1295" customFormat="1" x14ac:dyDescent="0.25">
      <c r="EN445" s="1485"/>
      <c r="EO445" s="1485"/>
      <c r="EP445" s="1485"/>
      <c r="EQ445" s="1485"/>
      <c r="ER445" s="1485"/>
      <c r="ES445" s="1485"/>
      <c r="ET445" s="1485"/>
      <c r="EU445" s="1485"/>
      <c r="EV445" s="1485"/>
      <c r="EW445" s="1485"/>
      <c r="EX445" s="1486"/>
      <c r="EY445" s="1486"/>
      <c r="EZ445" s="1487"/>
      <c r="FA445" s="1487"/>
      <c r="FB445" s="1151"/>
      <c r="FC445" s="1151"/>
      <c r="FD445" s="1151"/>
      <c r="FE445" s="1151"/>
      <c r="FF445" s="1151"/>
      <c r="FG445" s="1151"/>
      <c r="FH445" s="1151"/>
      <c r="FI445" s="1151"/>
      <c r="FJ445" s="1151"/>
      <c r="FK445" s="1151"/>
      <c r="FL445" s="1151"/>
      <c r="FM445" s="1151"/>
      <c r="FN445" s="1151"/>
      <c r="FO445" s="1151"/>
      <c r="FP445" s="1151"/>
      <c r="FQ445" s="1151"/>
      <c r="FR445" s="1151"/>
      <c r="FS445" s="1151"/>
      <c r="FT445" s="1151"/>
      <c r="FU445" s="1151"/>
      <c r="FV445" s="1151"/>
      <c r="FW445" s="1151"/>
      <c r="FX445" s="1151"/>
      <c r="FY445" s="1488"/>
      <c r="FZ445" s="1488"/>
      <c r="GA445" s="1488"/>
      <c r="GB445" s="1485"/>
      <c r="GC445" s="1485"/>
      <c r="GD445" s="1485"/>
      <c r="GE445" s="1485"/>
      <c r="GF445" s="1485"/>
      <c r="GG445" s="1485"/>
      <c r="GH445" s="1485"/>
    </row>
    <row r="446" spans="144:190" s="1295" customFormat="1" x14ac:dyDescent="0.25">
      <c r="EN446" s="1485"/>
      <c r="EO446" s="1485"/>
      <c r="EP446" s="1485"/>
      <c r="EQ446" s="1485"/>
      <c r="ER446" s="1485"/>
      <c r="ES446" s="1485"/>
      <c r="ET446" s="1485"/>
      <c r="EU446" s="1485"/>
      <c r="EV446" s="1485"/>
      <c r="EW446" s="1485"/>
      <c r="EX446" s="1486"/>
      <c r="EY446" s="1486"/>
      <c r="EZ446" s="1487"/>
      <c r="FA446" s="1487"/>
      <c r="FB446" s="1151"/>
      <c r="FC446" s="1151"/>
      <c r="FD446" s="1151"/>
      <c r="FE446" s="1151"/>
      <c r="FF446" s="1151"/>
      <c r="FG446" s="1151"/>
      <c r="FH446" s="1151"/>
      <c r="FI446" s="1151"/>
      <c r="FJ446" s="1151"/>
      <c r="FK446" s="1151"/>
      <c r="FL446" s="1151"/>
      <c r="FM446" s="1151"/>
      <c r="FN446" s="1151"/>
      <c r="FO446" s="1151"/>
      <c r="FP446" s="1151"/>
      <c r="FQ446" s="1151"/>
      <c r="FR446" s="1151"/>
      <c r="FS446" s="1151"/>
      <c r="FT446" s="1151"/>
      <c r="FU446" s="1151"/>
      <c r="FV446" s="1151"/>
      <c r="FW446" s="1151"/>
      <c r="FX446" s="1151"/>
      <c r="FY446" s="1488"/>
      <c r="FZ446" s="1488"/>
      <c r="GA446" s="1488"/>
      <c r="GB446" s="1485"/>
      <c r="GC446" s="1485"/>
      <c r="GD446" s="1485"/>
      <c r="GE446" s="1485"/>
      <c r="GF446" s="1485"/>
      <c r="GG446" s="1485"/>
      <c r="GH446" s="1485"/>
    </row>
    <row r="447" spans="144:190" s="1295" customFormat="1" x14ac:dyDescent="0.25">
      <c r="EN447" s="1485"/>
      <c r="EO447" s="1485"/>
      <c r="EP447" s="1485"/>
      <c r="EQ447" s="1485"/>
      <c r="ER447" s="1485"/>
      <c r="ES447" s="1485"/>
      <c r="ET447" s="1485"/>
      <c r="EU447" s="1485"/>
      <c r="EV447" s="1485"/>
      <c r="EW447" s="1485"/>
      <c r="EX447" s="1486"/>
      <c r="EY447" s="1486"/>
      <c r="EZ447" s="1487"/>
      <c r="FA447" s="1487"/>
      <c r="FB447" s="1151"/>
      <c r="FC447" s="1151"/>
      <c r="FD447" s="1151"/>
      <c r="FE447" s="1151"/>
      <c r="FF447" s="1151"/>
      <c r="FG447" s="1151"/>
      <c r="FH447" s="1151"/>
      <c r="FI447" s="1151"/>
      <c r="FJ447" s="1151"/>
      <c r="FK447" s="1151"/>
      <c r="FL447" s="1151"/>
      <c r="FM447" s="1151"/>
      <c r="FN447" s="1151"/>
      <c r="FO447" s="1151"/>
      <c r="FP447" s="1151"/>
      <c r="FQ447" s="1151"/>
      <c r="FR447" s="1151"/>
      <c r="FS447" s="1151"/>
      <c r="FT447" s="1151"/>
      <c r="FU447" s="1151"/>
      <c r="FV447" s="1151"/>
      <c r="FW447" s="1151"/>
      <c r="FX447" s="1151"/>
      <c r="FY447" s="1488"/>
      <c r="FZ447" s="1488"/>
      <c r="GA447" s="1488"/>
      <c r="GB447" s="1485"/>
      <c r="GC447" s="1485"/>
      <c r="GD447" s="1485"/>
      <c r="GE447" s="1485"/>
      <c r="GF447" s="1485"/>
      <c r="GG447" s="1485"/>
      <c r="GH447" s="1485"/>
    </row>
    <row r="448" spans="144:190" s="1295" customFormat="1" x14ac:dyDescent="0.25">
      <c r="EN448" s="1485"/>
      <c r="EO448" s="1485"/>
      <c r="EP448" s="1485"/>
      <c r="EQ448" s="1485"/>
      <c r="ER448" s="1485"/>
      <c r="ES448" s="1485"/>
      <c r="ET448" s="1485"/>
      <c r="EU448" s="1485"/>
      <c r="EV448" s="1485"/>
      <c r="EW448" s="1485"/>
      <c r="EX448" s="1486"/>
      <c r="EY448" s="1486"/>
      <c r="EZ448" s="1487"/>
      <c r="FA448" s="1487"/>
      <c r="FB448" s="1151"/>
      <c r="FC448" s="1151"/>
      <c r="FD448" s="1151"/>
      <c r="FE448" s="1151"/>
      <c r="FF448" s="1151"/>
      <c r="FG448" s="1151"/>
      <c r="FH448" s="1151"/>
      <c r="FI448" s="1151"/>
      <c r="FJ448" s="1151"/>
      <c r="FK448" s="1151"/>
      <c r="FL448" s="1151"/>
      <c r="FM448" s="1151"/>
      <c r="FN448" s="1151"/>
      <c r="FO448" s="1151"/>
      <c r="FP448" s="1151"/>
      <c r="FQ448" s="1151"/>
      <c r="FR448" s="1151"/>
      <c r="FS448" s="1151"/>
      <c r="FT448" s="1151"/>
      <c r="FU448" s="1151"/>
      <c r="FV448" s="1151"/>
      <c r="FW448" s="1151"/>
      <c r="FX448" s="1151"/>
      <c r="FY448" s="1488"/>
      <c r="FZ448" s="1488"/>
      <c r="GA448" s="1488"/>
      <c r="GB448" s="1485"/>
      <c r="GC448" s="1485"/>
      <c r="GD448" s="1485"/>
      <c r="GE448" s="1485"/>
      <c r="GF448" s="1485"/>
      <c r="GG448" s="1485"/>
      <c r="GH448" s="1485"/>
    </row>
    <row r="449" spans="144:190" s="1295" customFormat="1" x14ac:dyDescent="0.25">
      <c r="EN449" s="1485"/>
      <c r="EO449" s="1485"/>
      <c r="EP449" s="1485"/>
      <c r="EQ449" s="1485"/>
      <c r="ER449" s="1485"/>
      <c r="ES449" s="1485"/>
      <c r="ET449" s="1485"/>
      <c r="EU449" s="1485"/>
      <c r="EV449" s="1485"/>
      <c r="EW449" s="1485"/>
      <c r="EX449" s="1486"/>
      <c r="EY449" s="1486"/>
      <c r="EZ449" s="1487"/>
      <c r="FA449" s="1487"/>
      <c r="FB449" s="1151"/>
      <c r="FC449" s="1151"/>
      <c r="FD449" s="1151"/>
      <c r="FE449" s="1151"/>
      <c r="FF449" s="1151"/>
      <c r="FG449" s="1151"/>
      <c r="FH449" s="1151"/>
      <c r="FI449" s="1151"/>
      <c r="FJ449" s="1151"/>
      <c r="FK449" s="1151"/>
      <c r="FL449" s="1151"/>
      <c r="FM449" s="1151"/>
      <c r="FN449" s="1151"/>
      <c r="FO449" s="1151"/>
      <c r="FP449" s="1151"/>
      <c r="FQ449" s="1151"/>
      <c r="FR449" s="1151"/>
      <c r="FS449" s="1151"/>
      <c r="FT449" s="1151"/>
      <c r="FU449" s="1151"/>
      <c r="FV449" s="1151"/>
      <c r="FW449" s="1151"/>
      <c r="FX449" s="1151"/>
      <c r="FY449" s="1488"/>
      <c r="FZ449" s="1488"/>
      <c r="GA449" s="1488"/>
      <c r="GB449" s="1485"/>
      <c r="GC449" s="1485"/>
      <c r="GD449" s="1485"/>
      <c r="GE449" s="1485"/>
      <c r="GF449" s="1485"/>
      <c r="GG449" s="1485"/>
      <c r="GH449" s="1485"/>
    </row>
    <row r="450" spans="144:190" s="1295" customFormat="1" x14ac:dyDescent="0.25">
      <c r="EN450" s="1485"/>
      <c r="EO450" s="1485"/>
      <c r="EP450" s="1485"/>
      <c r="EQ450" s="1485"/>
      <c r="ER450" s="1485"/>
      <c r="ES450" s="1485"/>
      <c r="ET450" s="1485"/>
      <c r="EU450" s="1485"/>
      <c r="EV450" s="1485"/>
      <c r="EW450" s="1485"/>
      <c r="EX450" s="1486"/>
      <c r="EY450" s="1486"/>
      <c r="EZ450" s="1487"/>
      <c r="FA450" s="1487"/>
      <c r="FB450" s="1151"/>
      <c r="FC450" s="1151"/>
      <c r="FD450" s="1151"/>
      <c r="FE450" s="1151"/>
      <c r="FF450" s="1151"/>
      <c r="FG450" s="1151"/>
      <c r="FH450" s="1151"/>
      <c r="FI450" s="1151"/>
      <c r="FJ450" s="1151"/>
      <c r="FK450" s="1151"/>
      <c r="FL450" s="1151"/>
      <c r="FM450" s="1151"/>
      <c r="FN450" s="1151"/>
      <c r="FO450" s="1151"/>
      <c r="FP450" s="1151"/>
      <c r="FQ450" s="1151"/>
      <c r="FR450" s="1151"/>
      <c r="FS450" s="1151"/>
      <c r="FT450" s="1151"/>
      <c r="FU450" s="1151"/>
      <c r="FV450" s="1151"/>
      <c r="FW450" s="1151"/>
      <c r="FX450" s="1151"/>
      <c r="FY450" s="1488"/>
      <c r="FZ450" s="1488"/>
      <c r="GA450" s="1488"/>
      <c r="GB450" s="1485"/>
      <c r="GC450" s="1485"/>
      <c r="GD450" s="1485"/>
      <c r="GE450" s="1485"/>
      <c r="GF450" s="1485"/>
      <c r="GG450" s="1485"/>
      <c r="GH450" s="1485"/>
    </row>
    <row r="451" spans="144:190" s="1295" customFormat="1" x14ac:dyDescent="0.25">
      <c r="EN451" s="1485"/>
      <c r="EO451" s="1485"/>
      <c r="EP451" s="1485"/>
      <c r="EQ451" s="1485"/>
      <c r="ER451" s="1485"/>
      <c r="ES451" s="1485"/>
      <c r="ET451" s="1485"/>
      <c r="EU451" s="1485"/>
      <c r="EV451" s="1485"/>
      <c r="EW451" s="1485"/>
      <c r="EX451" s="1486"/>
      <c r="EY451" s="1486"/>
      <c r="EZ451" s="1487"/>
      <c r="FA451" s="1487"/>
      <c r="FB451" s="1151"/>
      <c r="FC451" s="1151"/>
      <c r="FD451" s="1151"/>
      <c r="FE451" s="1151"/>
      <c r="FF451" s="1151"/>
      <c r="FG451" s="1151"/>
      <c r="FH451" s="1151"/>
      <c r="FI451" s="1151"/>
      <c r="FJ451" s="1151"/>
      <c r="FK451" s="1151"/>
      <c r="FL451" s="1151"/>
      <c r="FM451" s="1151"/>
      <c r="FN451" s="1151"/>
      <c r="FO451" s="1151"/>
      <c r="FP451" s="1151"/>
      <c r="FQ451" s="1151"/>
      <c r="FR451" s="1151"/>
      <c r="FS451" s="1151"/>
      <c r="FT451" s="1151"/>
      <c r="FU451" s="1151"/>
      <c r="FV451" s="1151"/>
      <c r="FW451" s="1151"/>
      <c r="FX451" s="1151"/>
      <c r="FY451" s="1488"/>
      <c r="FZ451" s="1488"/>
      <c r="GA451" s="1488"/>
      <c r="GB451" s="1485"/>
      <c r="GC451" s="1485"/>
      <c r="GD451" s="1485"/>
      <c r="GE451" s="1485"/>
      <c r="GF451" s="1485"/>
      <c r="GG451" s="1485"/>
      <c r="GH451" s="1485"/>
    </row>
    <row r="452" spans="144:190" s="1295" customFormat="1" x14ac:dyDescent="0.25">
      <c r="EN452" s="1485"/>
      <c r="EO452" s="1485"/>
      <c r="EP452" s="1485"/>
      <c r="EQ452" s="1485"/>
      <c r="ER452" s="1485"/>
      <c r="ES452" s="1485"/>
      <c r="ET452" s="1485"/>
      <c r="EU452" s="1485"/>
      <c r="EV452" s="1485"/>
      <c r="EW452" s="1485"/>
      <c r="EX452" s="1486"/>
      <c r="EY452" s="1486"/>
      <c r="EZ452" s="1487"/>
      <c r="FA452" s="1487"/>
      <c r="FB452" s="1151"/>
      <c r="FC452" s="1151"/>
      <c r="FD452" s="1151"/>
      <c r="FE452" s="1151"/>
      <c r="FF452" s="1151"/>
      <c r="FG452" s="1151"/>
      <c r="FH452" s="1151"/>
      <c r="FI452" s="1151"/>
      <c r="FJ452" s="1151"/>
      <c r="FK452" s="1151"/>
      <c r="FL452" s="1151"/>
      <c r="FM452" s="1151"/>
      <c r="FN452" s="1151"/>
      <c r="FO452" s="1151"/>
      <c r="FP452" s="1151"/>
      <c r="FQ452" s="1151"/>
      <c r="FR452" s="1151"/>
      <c r="FS452" s="1151"/>
      <c r="FT452" s="1151"/>
      <c r="FU452" s="1151"/>
      <c r="FV452" s="1151"/>
      <c r="FW452" s="1151"/>
      <c r="FX452" s="1151"/>
      <c r="FY452" s="1488"/>
      <c r="FZ452" s="1488"/>
      <c r="GA452" s="1488"/>
      <c r="GB452" s="1485"/>
      <c r="GC452" s="1485"/>
      <c r="GD452" s="1485"/>
      <c r="GE452" s="1485"/>
      <c r="GF452" s="1485"/>
      <c r="GG452" s="1485"/>
      <c r="GH452" s="1485"/>
    </row>
    <row r="453" spans="144:190" s="1295" customFormat="1" x14ac:dyDescent="0.25">
      <c r="EN453" s="1485"/>
      <c r="EO453" s="1485"/>
      <c r="EP453" s="1485"/>
      <c r="EQ453" s="1485"/>
      <c r="ER453" s="1485"/>
      <c r="ES453" s="1485"/>
      <c r="ET453" s="1485"/>
      <c r="EU453" s="1485"/>
      <c r="EV453" s="1485"/>
      <c r="EW453" s="1485"/>
      <c r="EX453" s="1486"/>
      <c r="EY453" s="1486"/>
      <c r="EZ453" s="1487"/>
      <c r="FA453" s="1487"/>
      <c r="FB453" s="1151"/>
      <c r="FC453" s="1151"/>
      <c r="FD453" s="1151"/>
      <c r="FE453" s="1151"/>
      <c r="FF453" s="1151"/>
      <c r="FG453" s="1151"/>
      <c r="FH453" s="1151"/>
      <c r="FI453" s="1151"/>
      <c r="FJ453" s="1151"/>
      <c r="FK453" s="1151"/>
      <c r="FL453" s="1151"/>
      <c r="FM453" s="1151"/>
      <c r="FN453" s="1151"/>
      <c r="FO453" s="1151"/>
      <c r="FP453" s="1151"/>
      <c r="FQ453" s="1151"/>
      <c r="FR453" s="1151"/>
      <c r="FS453" s="1151"/>
      <c r="FT453" s="1151"/>
      <c r="FU453" s="1151"/>
      <c r="FV453" s="1151"/>
      <c r="FW453" s="1151"/>
      <c r="FX453" s="1151"/>
      <c r="FY453" s="1488"/>
      <c r="FZ453" s="1488"/>
      <c r="GA453" s="1488"/>
      <c r="GB453" s="1485"/>
      <c r="GC453" s="1485"/>
      <c r="GD453" s="1485"/>
      <c r="GE453" s="1485"/>
      <c r="GF453" s="1485"/>
      <c r="GG453" s="1485"/>
      <c r="GH453" s="1485"/>
    </row>
    <row r="454" spans="144:190" s="1295" customFormat="1" x14ac:dyDescent="0.25">
      <c r="EN454" s="1485"/>
      <c r="EO454" s="1485"/>
      <c r="EP454" s="1485"/>
      <c r="EQ454" s="1485"/>
      <c r="ER454" s="1485"/>
      <c r="ES454" s="1485"/>
      <c r="ET454" s="1485"/>
      <c r="EU454" s="1485"/>
      <c r="EV454" s="1485"/>
      <c r="EW454" s="1485"/>
      <c r="EX454" s="1486"/>
      <c r="EY454" s="1486"/>
      <c r="EZ454" s="1487"/>
      <c r="FA454" s="1487"/>
      <c r="FB454" s="1151"/>
      <c r="FC454" s="1151"/>
      <c r="FD454" s="1151"/>
      <c r="FE454" s="1151"/>
      <c r="FF454" s="1151"/>
      <c r="FG454" s="1151"/>
      <c r="FH454" s="1151"/>
      <c r="FI454" s="1151"/>
      <c r="FJ454" s="1151"/>
      <c r="FK454" s="1151"/>
      <c r="FL454" s="1151"/>
      <c r="FM454" s="1151"/>
      <c r="FN454" s="1151"/>
      <c r="FO454" s="1151"/>
      <c r="FP454" s="1151"/>
      <c r="FQ454" s="1151"/>
      <c r="FR454" s="1151"/>
      <c r="FS454" s="1151"/>
      <c r="FT454" s="1151"/>
      <c r="FU454" s="1151"/>
      <c r="FV454" s="1151"/>
      <c r="FW454" s="1151"/>
      <c r="FX454" s="1151"/>
      <c r="FY454" s="1488"/>
      <c r="FZ454" s="1488"/>
      <c r="GA454" s="1488"/>
      <c r="GB454" s="1485"/>
      <c r="GC454" s="1485"/>
      <c r="GD454" s="1485"/>
      <c r="GE454" s="1485"/>
      <c r="GF454" s="1485"/>
      <c r="GG454" s="1485"/>
      <c r="GH454" s="1485"/>
    </row>
    <row r="455" spans="144:190" s="1295" customFormat="1" x14ac:dyDescent="0.25">
      <c r="EN455" s="1485"/>
      <c r="EO455" s="1485"/>
      <c r="EP455" s="1485"/>
      <c r="EQ455" s="1485"/>
      <c r="ER455" s="1485"/>
      <c r="ES455" s="1485"/>
      <c r="ET455" s="1485"/>
      <c r="EU455" s="1485"/>
      <c r="EV455" s="1485"/>
      <c r="EW455" s="1485"/>
      <c r="EX455" s="1486"/>
      <c r="EY455" s="1486"/>
      <c r="EZ455" s="1487"/>
      <c r="FA455" s="1487"/>
      <c r="FB455" s="1151"/>
      <c r="FC455" s="1151"/>
      <c r="FD455" s="1151"/>
      <c r="FE455" s="1151"/>
      <c r="FF455" s="1151"/>
      <c r="FG455" s="1151"/>
      <c r="FH455" s="1151"/>
      <c r="FI455" s="1151"/>
      <c r="FJ455" s="1151"/>
      <c r="FK455" s="1151"/>
      <c r="FL455" s="1151"/>
      <c r="FM455" s="1151"/>
      <c r="FN455" s="1151"/>
      <c r="FO455" s="1151"/>
      <c r="FP455" s="1151"/>
      <c r="FQ455" s="1151"/>
      <c r="FR455" s="1151"/>
      <c r="FS455" s="1151"/>
      <c r="FT455" s="1151"/>
      <c r="FU455" s="1151"/>
      <c r="FV455" s="1151"/>
      <c r="FW455" s="1151"/>
      <c r="FX455" s="1151"/>
      <c r="FY455" s="1488"/>
      <c r="FZ455" s="1488"/>
      <c r="GA455" s="1488"/>
      <c r="GB455" s="1485"/>
      <c r="GC455" s="1485"/>
      <c r="GD455" s="1485"/>
      <c r="GE455" s="1485"/>
      <c r="GF455" s="1485"/>
      <c r="GG455" s="1485"/>
      <c r="GH455" s="1485"/>
    </row>
    <row r="456" spans="144:190" s="1295" customFormat="1" x14ac:dyDescent="0.25">
      <c r="EN456" s="1485"/>
      <c r="EO456" s="1485"/>
      <c r="EP456" s="1485"/>
      <c r="EQ456" s="1485"/>
      <c r="ER456" s="1485"/>
      <c r="ES456" s="1485"/>
      <c r="ET456" s="1485"/>
      <c r="EU456" s="1485"/>
      <c r="EV456" s="1485"/>
      <c r="EW456" s="1485"/>
      <c r="EX456" s="1486"/>
      <c r="EY456" s="1486"/>
      <c r="EZ456" s="1487"/>
      <c r="FA456" s="1487"/>
      <c r="FB456" s="1151"/>
      <c r="FC456" s="1151"/>
      <c r="FD456" s="1151"/>
      <c r="FE456" s="1151"/>
      <c r="FF456" s="1151"/>
      <c r="FG456" s="1151"/>
      <c r="FH456" s="1151"/>
      <c r="FI456" s="1151"/>
      <c r="FJ456" s="1151"/>
      <c r="FK456" s="1151"/>
      <c r="FL456" s="1151"/>
      <c r="FM456" s="1151"/>
      <c r="FN456" s="1151"/>
      <c r="FO456" s="1151"/>
      <c r="FP456" s="1151"/>
      <c r="FQ456" s="1151"/>
      <c r="FR456" s="1151"/>
      <c r="FS456" s="1151"/>
      <c r="FT456" s="1151"/>
      <c r="FU456" s="1151"/>
      <c r="FV456" s="1151"/>
      <c r="FW456" s="1151"/>
      <c r="FX456" s="1151"/>
      <c r="FY456" s="1488"/>
      <c r="FZ456" s="1488"/>
      <c r="GA456" s="1488"/>
      <c r="GB456" s="1485"/>
      <c r="GC456" s="1485"/>
      <c r="GD456" s="1485"/>
      <c r="GE456" s="1485"/>
      <c r="GF456" s="1485"/>
      <c r="GG456" s="1485"/>
      <c r="GH456" s="1485"/>
    </row>
    <row r="457" spans="144:190" s="1295" customFormat="1" x14ac:dyDescent="0.25">
      <c r="EN457" s="1485"/>
      <c r="EO457" s="1485"/>
      <c r="EP457" s="1485"/>
      <c r="EQ457" s="1485"/>
      <c r="ER457" s="1485"/>
      <c r="ES457" s="1485"/>
      <c r="ET457" s="1485"/>
      <c r="EU457" s="1485"/>
      <c r="EV457" s="1485"/>
      <c r="EW457" s="1485"/>
      <c r="EX457" s="1486"/>
      <c r="EY457" s="1486"/>
      <c r="EZ457" s="1487"/>
      <c r="FA457" s="1487"/>
      <c r="FB457" s="1151"/>
      <c r="FC457" s="1151"/>
      <c r="FD457" s="1151"/>
      <c r="FE457" s="1151"/>
      <c r="FF457" s="1151"/>
      <c r="FG457" s="1151"/>
      <c r="FH457" s="1151"/>
      <c r="FI457" s="1151"/>
      <c r="FJ457" s="1151"/>
      <c r="FK457" s="1151"/>
      <c r="FL457" s="1151"/>
      <c r="FM457" s="1151"/>
      <c r="FN457" s="1151"/>
      <c r="FO457" s="1151"/>
      <c r="FP457" s="1151"/>
      <c r="FQ457" s="1151"/>
      <c r="FR457" s="1151"/>
      <c r="FS457" s="1151"/>
      <c r="FT457" s="1151"/>
      <c r="FU457" s="1151"/>
      <c r="FV457" s="1151"/>
      <c r="FW457" s="1151"/>
      <c r="FX457" s="1151"/>
      <c r="FY457" s="1488"/>
      <c r="FZ457" s="1488"/>
      <c r="GA457" s="1488"/>
      <c r="GB457" s="1485"/>
      <c r="GC457" s="1485"/>
      <c r="GD457" s="1485"/>
      <c r="GE457" s="1485"/>
      <c r="GF457" s="1485"/>
      <c r="GG457" s="1485"/>
      <c r="GH457" s="1485"/>
    </row>
    <row r="458" spans="144:190" s="1295" customFormat="1" x14ac:dyDescent="0.25">
      <c r="EN458" s="1485"/>
      <c r="EO458" s="1485"/>
      <c r="EP458" s="1485"/>
      <c r="EQ458" s="1485"/>
      <c r="ER458" s="1485"/>
      <c r="ES458" s="1485"/>
      <c r="ET458" s="1485"/>
      <c r="EU458" s="1485"/>
      <c r="EV458" s="1485"/>
      <c r="EW458" s="1485"/>
      <c r="EX458" s="1486"/>
      <c r="EY458" s="1486"/>
      <c r="EZ458" s="1487"/>
      <c r="FA458" s="1487"/>
      <c r="FB458" s="1151"/>
      <c r="FC458" s="1151"/>
      <c r="FD458" s="1151"/>
      <c r="FE458" s="1151"/>
      <c r="FF458" s="1151"/>
      <c r="FG458" s="1151"/>
      <c r="FH458" s="1151"/>
      <c r="FI458" s="1151"/>
      <c r="FJ458" s="1151"/>
      <c r="FK458" s="1151"/>
      <c r="FL458" s="1151"/>
      <c r="FM458" s="1151"/>
      <c r="FN458" s="1151"/>
      <c r="FO458" s="1151"/>
      <c r="FP458" s="1151"/>
      <c r="FQ458" s="1151"/>
      <c r="FR458" s="1151"/>
      <c r="FS458" s="1151"/>
      <c r="FT458" s="1151"/>
      <c r="FU458" s="1151"/>
      <c r="FV458" s="1151"/>
      <c r="FW458" s="1151"/>
      <c r="FX458" s="1151"/>
      <c r="FY458" s="1488"/>
      <c r="FZ458" s="1488"/>
      <c r="GA458" s="1488"/>
      <c r="GB458" s="1485"/>
      <c r="GC458" s="1485"/>
      <c r="GD458" s="1485"/>
      <c r="GE458" s="1485"/>
      <c r="GF458" s="1485"/>
      <c r="GG458" s="1485"/>
      <c r="GH458" s="1485"/>
    </row>
    <row r="459" spans="144:190" s="1295" customFormat="1" x14ac:dyDescent="0.25">
      <c r="EN459" s="1485"/>
      <c r="EO459" s="1485"/>
      <c r="EP459" s="1485"/>
      <c r="EQ459" s="1485"/>
      <c r="ER459" s="1485"/>
      <c r="ES459" s="1485"/>
      <c r="ET459" s="1485"/>
      <c r="EU459" s="1485"/>
      <c r="EV459" s="1485"/>
      <c r="EW459" s="1485"/>
      <c r="EX459" s="1486"/>
      <c r="EY459" s="1486"/>
      <c r="EZ459" s="1487"/>
      <c r="FA459" s="1487"/>
      <c r="FB459" s="1151"/>
      <c r="FC459" s="1151"/>
      <c r="FD459" s="1151"/>
      <c r="FE459" s="1151"/>
      <c r="FF459" s="1151"/>
      <c r="FG459" s="1151"/>
      <c r="FH459" s="1151"/>
      <c r="FI459" s="1151"/>
      <c r="FJ459" s="1151"/>
      <c r="FK459" s="1151"/>
      <c r="FL459" s="1151"/>
      <c r="FM459" s="1151"/>
      <c r="FN459" s="1151"/>
      <c r="FO459" s="1151"/>
      <c r="FP459" s="1151"/>
      <c r="FQ459" s="1151"/>
      <c r="FR459" s="1151"/>
      <c r="FS459" s="1151"/>
      <c r="FT459" s="1151"/>
      <c r="FU459" s="1151"/>
      <c r="FV459" s="1151"/>
      <c r="FW459" s="1151"/>
      <c r="FX459" s="1151"/>
      <c r="FY459" s="1488"/>
      <c r="FZ459" s="1488"/>
      <c r="GA459" s="1488"/>
      <c r="GB459" s="1485"/>
      <c r="GC459" s="1485"/>
      <c r="GD459" s="1485"/>
      <c r="GE459" s="1485"/>
      <c r="GF459" s="1485"/>
      <c r="GG459" s="1485"/>
      <c r="GH459" s="1485"/>
    </row>
    <row r="460" spans="144:190" s="1295" customFormat="1" x14ac:dyDescent="0.25">
      <c r="EN460" s="1485"/>
      <c r="EO460" s="1485"/>
      <c r="EP460" s="1485"/>
      <c r="EQ460" s="1485"/>
      <c r="ER460" s="1485"/>
      <c r="ES460" s="1485"/>
      <c r="ET460" s="1485"/>
      <c r="EU460" s="1485"/>
      <c r="EV460" s="1485"/>
      <c r="EW460" s="1485"/>
      <c r="EX460" s="1486"/>
      <c r="EY460" s="1486"/>
      <c r="EZ460" s="1487"/>
      <c r="FA460" s="1487"/>
      <c r="FB460" s="1151"/>
      <c r="FC460" s="1151"/>
      <c r="FD460" s="1151"/>
      <c r="FE460" s="1151"/>
      <c r="FF460" s="1151"/>
      <c r="FG460" s="1151"/>
      <c r="FH460" s="1151"/>
      <c r="FI460" s="1151"/>
      <c r="FJ460" s="1151"/>
      <c r="FK460" s="1151"/>
      <c r="FL460" s="1151"/>
      <c r="FM460" s="1151"/>
      <c r="FN460" s="1151"/>
      <c r="FO460" s="1151"/>
      <c r="FP460" s="1151"/>
      <c r="FQ460" s="1151"/>
      <c r="FR460" s="1151"/>
      <c r="FS460" s="1151"/>
      <c r="FT460" s="1151"/>
      <c r="FU460" s="1151"/>
      <c r="FV460" s="1151"/>
      <c r="FW460" s="1151"/>
      <c r="FX460" s="1151"/>
      <c r="FY460" s="1488"/>
      <c r="FZ460" s="1488"/>
      <c r="GA460" s="1488"/>
      <c r="GB460" s="1485"/>
      <c r="GC460" s="1485"/>
      <c r="GD460" s="1485"/>
      <c r="GE460" s="1485"/>
      <c r="GF460" s="1485"/>
      <c r="GG460" s="1485"/>
      <c r="GH460" s="1485"/>
    </row>
    <row r="461" spans="144:190" s="1295" customFormat="1" x14ac:dyDescent="0.25">
      <c r="EN461" s="1485"/>
      <c r="EO461" s="1485"/>
      <c r="EP461" s="1485"/>
      <c r="EQ461" s="1485"/>
      <c r="ER461" s="1485"/>
      <c r="ES461" s="1485"/>
      <c r="ET461" s="1485"/>
      <c r="EU461" s="1485"/>
      <c r="EV461" s="1485"/>
      <c r="EW461" s="1485"/>
      <c r="EX461" s="1486"/>
      <c r="EY461" s="1486"/>
      <c r="EZ461" s="1487"/>
      <c r="FA461" s="1487"/>
      <c r="FB461" s="1151"/>
      <c r="FC461" s="1151"/>
      <c r="FD461" s="1151"/>
      <c r="FE461" s="1151"/>
      <c r="FF461" s="1151"/>
      <c r="FG461" s="1151"/>
      <c r="FH461" s="1151"/>
      <c r="FI461" s="1151"/>
      <c r="FJ461" s="1151"/>
      <c r="FK461" s="1151"/>
      <c r="FL461" s="1151"/>
      <c r="FM461" s="1151"/>
      <c r="FN461" s="1151"/>
      <c r="FO461" s="1151"/>
      <c r="FP461" s="1151"/>
      <c r="FQ461" s="1151"/>
      <c r="FR461" s="1151"/>
      <c r="FS461" s="1151"/>
      <c r="FT461" s="1151"/>
      <c r="FU461" s="1151"/>
      <c r="FV461" s="1151"/>
      <c r="FW461" s="1151"/>
      <c r="FX461" s="1151"/>
      <c r="FY461" s="1488"/>
      <c r="FZ461" s="1488"/>
      <c r="GA461" s="1488"/>
      <c r="GB461" s="1485"/>
      <c r="GC461" s="1485"/>
      <c r="GD461" s="1485"/>
      <c r="GE461" s="1485"/>
      <c r="GF461" s="1485"/>
      <c r="GG461" s="1485"/>
      <c r="GH461" s="1485"/>
    </row>
    <row r="462" spans="144:190" s="1295" customFormat="1" x14ac:dyDescent="0.25">
      <c r="EN462" s="1485"/>
      <c r="EO462" s="1485"/>
      <c r="EP462" s="1485"/>
      <c r="EQ462" s="1485"/>
      <c r="ER462" s="1485"/>
      <c r="ES462" s="1485"/>
      <c r="ET462" s="1485"/>
      <c r="EU462" s="1485"/>
      <c r="EV462" s="1485"/>
      <c r="EW462" s="1485"/>
      <c r="EX462" s="1486"/>
      <c r="EY462" s="1486"/>
      <c r="EZ462" s="1487"/>
      <c r="FA462" s="1487"/>
      <c r="FB462" s="1151"/>
      <c r="FC462" s="1151"/>
      <c r="FD462" s="1151"/>
      <c r="FE462" s="1151"/>
      <c r="FF462" s="1151"/>
      <c r="FG462" s="1151"/>
      <c r="FH462" s="1151"/>
      <c r="FI462" s="1151"/>
      <c r="FJ462" s="1151"/>
      <c r="FK462" s="1151"/>
      <c r="FL462" s="1151"/>
      <c r="FM462" s="1151"/>
      <c r="FN462" s="1151"/>
      <c r="FO462" s="1151"/>
      <c r="FP462" s="1151"/>
      <c r="FQ462" s="1151"/>
      <c r="FR462" s="1151"/>
      <c r="FS462" s="1151"/>
      <c r="FT462" s="1151"/>
      <c r="FU462" s="1151"/>
      <c r="FV462" s="1151"/>
      <c r="FW462" s="1151"/>
      <c r="FX462" s="1151"/>
      <c r="FY462" s="1488"/>
      <c r="FZ462" s="1488"/>
      <c r="GA462" s="1488"/>
      <c r="GB462" s="1485"/>
      <c r="GC462" s="1485"/>
      <c r="GD462" s="1485"/>
      <c r="GE462" s="1485"/>
      <c r="GF462" s="1485"/>
      <c r="GG462" s="1485"/>
      <c r="GH462" s="1485"/>
    </row>
    <row r="463" spans="144:190" s="1295" customFormat="1" x14ac:dyDescent="0.25">
      <c r="EN463" s="1485"/>
      <c r="EO463" s="1485"/>
      <c r="EP463" s="1485"/>
      <c r="EQ463" s="1485"/>
      <c r="ER463" s="1485"/>
      <c r="ES463" s="1485"/>
      <c r="ET463" s="1485"/>
      <c r="EU463" s="1485"/>
      <c r="EV463" s="1485"/>
      <c r="EW463" s="1485"/>
      <c r="EX463" s="1486"/>
      <c r="EY463" s="1486"/>
      <c r="EZ463" s="1487"/>
      <c r="FA463" s="1487"/>
      <c r="FB463" s="1151"/>
      <c r="FC463" s="1151"/>
      <c r="FD463" s="1151"/>
      <c r="FE463" s="1151"/>
      <c r="FF463" s="1151"/>
      <c r="FG463" s="1151"/>
      <c r="FH463" s="1151"/>
      <c r="FI463" s="1151"/>
      <c r="FJ463" s="1151"/>
      <c r="FK463" s="1151"/>
      <c r="FL463" s="1151"/>
      <c r="FM463" s="1151"/>
      <c r="FN463" s="1151"/>
      <c r="FO463" s="1151"/>
      <c r="FP463" s="1151"/>
      <c r="FQ463" s="1151"/>
      <c r="FR463" s="1151"/>
      <c r="FS463" s="1151"/>
      <c r="FT463" s="1151"/>
      <c r="FU463" s="1151"/>
      <c r="FV463" s="1151"/>
      <c r="FW463" s="1151"/>
      <c r="FX463" s="1151"/>
      <c r="FY463" s="1488"/>
      <c r="FZ463" s="1488"/>
      <c r="GA463" s="1488"/>
      <c r="GB463" s="1485"/>
      <c r="GC463" s="1485"/>
      <c r="GD463" s="1485"/>
      <c r="GE463" s="1485"/>
      <c r="GF463" s="1485"/>
      <c r="GG463" s="1485"/>
      <c r="GH463" s="1485"/>
    </row>
    <row r="464" spans="144:190" s="1295" customFormat="1" x14ac:dyDescent="0.25">
      <c r="EN464" s="1485"/>
      <c r="EO464" s="1485"/>
      <c r="EP464" s="1485"/>
      <c r="EQ464" s="1485"/>
      <c r="ER464" s="1485"/>
      <c r="ES464" s="1485"/>
      <c r="ET464" s="1485"/>
      <c r="EU464" s="1485"/>
      <c r="EV464" s="1485"/>
      <c r="EW464" s="1485"/>
      <c r="EX464" s="1486"/>
      <c r="EY464" s="1486"/>
      <c r="EZ464" s="1487"/>
      <c r="FA464" s="1487"/>
      <c r="FB464" s="1151"/>
      <c r="FC464" s="1151"/>
      <c r="FD464" s="1151"/>
      <c r="FE464" s="1151"/>
      <c r="FF464" s="1151"/>
      <c r="FG464" s="1151"/>
      <c r="FH464" s="1151"/>
      <c r="FI464" s="1151"/>
      <c r="FJ464" s="1151"/>
      <c r="FK464" s="1151"/>
      <c r="FL464" s="1151"/>
      <c r="FM464" s="1151"/>
      <c r="FN464" s="1151"/>
      <c r="FO464" s="1151"/>
      <c r="FP464" s="1151"/>
      <c r="FQ464" s="1151"/>
      <c r="FR464" s="1151"/>
      <c r="FS464" s="1151"/>
      <c r="FT464" s="1151"/>
      <c r="FU464" s="1151"/>
      <c r="FV464" s="1151"/>
      <c r="FW464" s="1151"/>
      <c r="FX464" s="1151"/>
      <c r="FY464" s="1488"/>
      <c r="FZ464" s="1488"/>
      <c r="GA464" s="1488"/>
      <c r="GB464" s="1485"/>
      <c r="GC464" s="1485"/>
      <c r="GD464" s="1485"/>
      <c r="GE464" s="1485"/>
      <c r="GF464" s="1485"/>
      <c r="GG464" s="1485"/>
      <c r="GH464" s="1485"/>
    </row>
    <row r="465" spans="144:190" s="1295" customFormat="1" x14ac:dyDescent="0.25">
      <c r="EN465" s="1485"/>
      <c r="EO465" s="1485"/>
      <c r="EP465" s="1485"/>
      <c r="EQ465" s="1485"/>
      <c r="ER465" s="1485"/>
      <c r="ES465" s="1485"/>
      <c r="ET465" s="1485"/>
      <c r="EU465" s="1485"/>
      <c r="EV465" s="1485"/>
      <c r="EW465" s="1485"/>
      <c r="EX465" s="1486"/>
      <c r="EY465" s="1486"/>
      <c r="EZ465" s="1487"/>
      <c r="FA465" s="1487"/>
      <c r="FB465" s="1151"/>
      <c r="FC465" s="1151"/>
      <c r="FD465" s="1151"/>
      <c r="FE465" s="1151"/>
      <c r="FF465" s="1151"/>
      <c r="FG465" s="1151"/>
      <c r="FH465" s="1151"/>
      <c r="FI465" s="1151"/>
      <c r="FJ465" s="1151"/>
      <c r="FK465" s="1151"/>
      <c r="FL465" s="1151"/>
      <c r="FM465" s="1151"/>
      <c r="FN465" s="1151"/>
      <c r="FO465" s="1151"/>
      <c r="FP465" s="1151"/>
      <c r="FQ465" s="1151"/>
      <c r="FR465" s="1151"/>
      <c r="FS465" s="1151"/>
      <c r="FT465" s="1151"/>
      <c r="FU465" s="1151"/>
      <c r="FV465" s="1151"/>
      <c r="FW465" s="1151"/>
      <c r="FX465" s="1151"/>
      <c r="FY465" s="1488"/>
      <c r="FZ465" s="1488"/>
      <c r="GA465" s="1488"/>
      <c r="GB465" s="1485"/>
      <c r="GC465" s="1485"/>
      <c r="GD465" s="1485"/>
      <c r="GE465" s="1485"/>
      <c r="GF465" s="1485"/>
      <c r="GG465" s="1485"/>
      <c r="GH465" s="1485"/>
    </row>
    <row r="466" spans="144:190" s="1295" customFormat="1" x14ac:dyDescent="0.25">
      <c r="EN466" s="1485"/>
      <c r="EO466" s="1485"/>
      <c r="EP466" s="1485"/>
      <c r="EQ466" s="1485"/>
      <c r="ER466" s="1485"/>
      <c r="ES466" s="1485"/>
      <c r="ET466" s="1485"/>
      <c r="EU466" s="1485"/>
      <c r="EV466" s="1485"/>
      <c r="EW466" s="1485"/>
      <c r="EX466" s="1486"/>
      <c r="EY466" s="1486"/>
      <c r="EZ466" s="1487"/>
      <c r="FA466" s="1487"/>
      <c r="FB466" s="1151"/>
      <c r="FC466" s="1151"/>
      <c r="FD466" s="1151"/>
      <c r="FE466" s="1151"/>
      <c r="FF466" s="1151"/>
      <c r="FG466" s="1151"/>
      <c r="FH466" s="1151"/>
      <c r="FI466" s="1151"/>
      <c r="FJ466" s="1151"/>
      <c r="FK466" s="1151"/>
      <c r="FL466" s="1151"/>
      <c r="FM466" s="1151"/>
      <c r="FN466" s="1151"/>
      <c r="FO466" s="1151"/>
      <c r="FP466" s="1151"/>
      <c r="FQ466" s="1151"/>
      <c r="FR466" s="1151"/>
      <c r="FS466" s="1151"/>
      <c r="FT466" s="1151"/>
      <c r="FU466" s="1151"/>
      <c r="FV466" s="1151"/>
      <c r="FW466" s="1151"/>
      <c r="FX466" s="1151"/>
      <c r="FY466" s="1488"/>
      <c r="FZ466" s="1488"/>
      <c r="GA466" s="1488"/>
      <c r="GB466" s="1485"/>
      <c r="GC466" s="1485"/>
      <c r="GD466" s="1485"/>
      <c r="GE466" s="1485"/>
      <c r="GF466" s="1485"/>
      <c r="GG466" s="1485"/>
      <c r="GH466" s="1485"/>
    </row>
    <row r="467" spans="144:190" s="1295" customFormat="1" x14ac:dyDescent="0.25">
      <c r="EN467" s="1485"/>
      <c r="EO467" s="1485"/>
      <c r="EP467" s="1485"/>
      <c r="EQ467" s="1485"/>
      <c r="ER467" s="1485"/>
      <c r="ES467" s="1485"/>
      <c r="ET467" s="1485"/>
      <c r="EU467" s="1485"/>
      <c r="EV467" s="1485"/>
      <c r="EW467" s="1485"/>
      <c r="EX467" s="1486"/>
      <c r="EY467" s="1486"/>
      <c r="EZ467" s="1487"/>
      <c r="FA467" s="1487"/>
      <c r="FB467" s="1151"/>
      <c r="FC467" s="1151"/>
      <c r="FD467" s="1151"/>
      <c r="FE467" s="1151"/>
      <c r="FF467" s="1151"/>
      <c r="FG467" s="1151"/>
      <c r="FH467" s="1151"/>
      <c r="FI467" s="1151"/>
      <c r="FJ467" s="1151"/>
      <c r="FK467" s="1151"/>
      <c r="FL467" s="1151"/>
      <c r="FM467" s="1151"/>
      <c r="FN467" s="1151"/>
      <c r="FO467" s="1151"/>
      <c r="FP467" s="1151"/>
      <c r="FQ467" s="1151"/>
      <c r="FR467" s="1151"/>
      <c r="FS467" s="1151"/>
      <c r="FT467" s="1151"/>
      <c r="FU467" s="1151"/>
      <c r="FV467" s="1151"/>
      <c r="FW467" s="1151"/>
      <c r="FX467" s="1151"/>
      <c r="FY467" s="1488"/>
      <c r="FZ467" s="1488"/>
      <c r="GA467" s="1488"/>
      <c r="GB467" s="1485"/>
      <c r="GC467" s="1485"/>
      <c r="GD467" s="1485"/>
      <c r="GE467" s="1485"/>
      <c r="GF467" s="1485"/>
      <c r="GG467" s="1485"/>
      <c r="GH467" s="1485"/>
    </row>
    <row r="468" spans="144:190" s="1295" customFormat="1" x14ac:dyDescent="0.25">
      <c r="EN468" s="1485"/>
      <c r="EO468" s="1485"/>
      <c r="EP468" s="1485"/>
      <c r="EQ468" s="1485"/>
      <c r="ER468" s="1485"/>
      <c r="ES468" s="1485"/>
      <c r="ET468" s="1485"/>
      <c r="EU468" s="1485"/>
      <c r="EV468" s="1485"/>
      <c r="EW468" s="1485"/>
      <c r="EX468" s="1486"/>
      <c r="EY468" s="1486"/>
      <c r="EZ468" s="1487"/>
      <c r="FA468" s="1487"/>
      <c r="FB468" s="1151"/>
      <c r="FC468" s="1151"/>
      <c r="FD468" s="1151"/>
      <c r="FE468" s="1151"/>
      <c r="FF468" s="1151"/>
      <c r="FG468" s="1151"/>
      <c r="FH468" s="1151"/>
      <c r="FI468" s="1151"/>
      <c r="FJ468" s="1151"/>
      <c r="FK468" s="1151"/>
      <c r="FL468" s="1151"/>
      <c r="FM468" s="1151"/>
      <c r="FN468" s="1151"/>
      <c r="FO468" s="1151"/>
      <c r="FP468" s="1151"/>
      <c r="FQ468" s="1151"/>
      <c r="FR468" s="1151"/>
      <c r="FS468" s="1151"/>
      <c r="FT468" s="1151"/>
      <c r="FU468" s="1151"/>
      <c r="FV468" s="1151"/>
      <c r="FW468" s="1151"/>
      <c r="FX468" s="1151"/>
      <c r="FY468" s="1488"/>
      <c r="FZ468" s="1488"/>
      <c r="GA468" s="1488"/>
      <c r="GB468" s="1485"/>
      <c r="GC468" s="1485"/>
      <c r="GD468" s="1485"/>
      <c r="GE468" s="1485"/>
      <c r="GF468" s="1485"/>
      <c r="GG468" s="1485"/>
      <c r="GH468" s="1485"/>
    </row>
    <row r="469" spans="144:190" s="1295" customFormat="1" x14ac:dyDescent="0.25">
      <c r="EN469" s="1485"/>
      <c r="EO469" s="1485"/>
      <c r="EP469" s="1485"/>
      <c r="EQ469" s="1485"/>
      <c r="ER469" s="1485"/>
      <c r="ES469" s="1485"/>
      <c r="ET469" s="1485"/>
      <c r="EU469" s="1485"/>
      <c r="EV469" s="1485"/>
      <c r="EW469" s="1485"/>
      <c r="EX469" s="1486"/>
      <c r="EY469" s="1486"/>
      <c r="EZ469" s="1487"/>
      <c r="FA469" s="1487"/>
      <c r="FB469" s="1151"/>
      <c r="FC469" s="1151"/>
      <c r="FD469" s="1151"/>
      <c r="FE469" s="1151"/>
      <c r="FF469" s="1151"/>
      <c r="FG469" s="1151"/>
      <c r="FH469" s="1151"/>
      <c r="FI469" s="1151"/>
      <c r="FJ469" s="1151"/>
      <c r="FK469" s="1151"/>
      <c r="FL469" s="1151"/>
      <c r="FM469" s="1151"/>
      <c r="FN469" s="1151"/>
      <c r="FO469" s="1151"/>
      <c r="FP469" s="1151"/>
      <c r="FQ469" s="1151"/>
      <c r="FR469" s="1151"/>
      <c r="FS469" s="1151"/>
      <c r="FT469" s="1151"/>
      <c r="FU469" s="1151"/>
      <c r="FV469" s="1151"/>
      <c r="FW469" s="1151"/>
      <c r="FX469" s="1151"/>
      <c r="FY469" s="1488"/>
      <c r="FZ469" s="1488"/>
      <c r="GA469" s="1488"/>
      <c r="GB469" s="1485"/>
      <c r="GC469" s="1485"/>
      <c r="GD469" s="1485"/>
      <c r="GE469" s="1485"/>
      <c r="GF469" s="1485"/>
      <c r="GG469" s="1485"/>
      <c r="GH469" s="1485"/>
    </row>
    <row r="470" spans="144:190" s="1295" customFormat="1" x14ac:dyDescent="0.25">
      <c r="EN470" s="1485"/>
      <c r="EO470" s="1485"/>
      <c r="EP470" s="1485"/>
      <c r="EQ470" s="1485"/>
      <c r="ER470" s="1485"/>
      <c r="ES470" s="1485"/>
      <c r="ET470" s="1485"/>
      <c r="EU470" s="1485"/>
      <c r="EV470" s="1485"/>
      <c r="EW470" s="1485"/>
      <c r="EX470" s="1486"/>
      <c r="EY470" s="1486"/>
      <c r="EZ470" s="1487"/>
      <c r="FA470" s="1487"/>
      <c r="FB470" s="1151"/>
      <c r="FC470" s="1151"/>
      <c r="FD470" s="1151"/>
      <c r="FE470" s="1151"/>
      <c r="FF470" s="1151"/>
      <c r="FG470" s="1151"/>
      <c r="FH470" s="1151"/>
      <c r="FI470" s="1151"/>
      <c r="FJ470" s="1151"/>
      <c r="FK470" s="1151"/>
      <c r="FL470" s="1151"/>
      <c r="FM470" s="1151"/>
      <c r="FN470" s="1151"/>
      <c r="FO470" s="1151"/>
      <c r="FP470" s="1151"/>
      <c r="FQ470" s="1151"/>
      <c r="FR470" s="1151"/>
      <c r="FS470" s="1151"/>
      <c r="FT470" s="1151"/>
      <c r="FU470" s="1151"/>
      <c r="FV470" s="1151"/>
      <c r="FW470" s="1151"/>
      <c r="FX470" s="1151"/>
      <c r="FY470" s="1488"/>
      <c r="FZ470" s="1488"/>
      <c r="GA470" s="1488"/>
      <c r="GB470" s="1485"/>
      <c r="GC470" s="1485"/>
      <c r="GD470" s="1485"/>
      <c r="GE470" s="1485"/>
      <c r="GF470" s="1485"/>
      <c r="GG470" s="1485"/>
      <c r="GH470" s="1485"/>
    </row>
    <row r="471" spans="144:190" s="1295" customFormat="1" x14ac:dyDescent="0.25">
      <c r="EN471" s="1485"/>
      <c r="EO471" s="1485"/>
      <c r="EP471" s="1485"/>
      <c r="EQ471" s="1485"/>
      <c r="ER471" s="1485"/>
      <c r="ES471" s="1485"/>
      <c r="ET471" s="1485"/>
      <c r="EU471" s="1485"/>
      <c r="EV471" s="1485"/>
      <c r="EW471" s="1485"/>
      <c r="EX471" s="1486"/>
      <c r="EY471" s="1486"/>
      <c r="EZ471" s="1487"/>
      <c r="FA471" s="1487"/>
      <c r="FB471" s="1151"/>
      <c r="FC471" s="1151"/>
      <c r="FD471" s="1151"/>
      <c r="FE471" s="1151"/>
      <c r="FF471" s="1151"/>
      <c r="FG471" s="1151"/>
      <c r="FH471" s="1151"/>
      <c r="FI471" s="1151"/>
      <c r="FJ471" s="1151"/>
      <c r="FK471" s="1151"/>
      <c r="FL471" s="1151"/>
      <c r="FM471" s="1151"/>
      <c r="FN471" s="1151"/>
      <c r="FO471" s="1151"/>
      <c r="FP471" s="1151"/>
      <c r="FQ471" s="1151"/>
      <c r="FR471" s="1151"/>
      <c r="FS471" s="1151"/>
      <c r="FT471" s="1151"/>
      <c r="FU471" s="1151"/>
      <c r="FV471" s="1151"/>
      <c r="FW471" s="1151"/>
      <c r="FX471" s="1151"/>
      <c r="FY471" s="1488"/>
      <c r="FZ471" s="1488"/>
      <c r="GA471" s="1488"/>
      <c r="GB471" s="1485"/>
      <c r="GC471" s="1485"/>
      <c r="GD471" s="1485"/>
      <c r="GE471" s="1485"/>
      <c r="GF471" s="1485"/>
      <c r="GG471" s="1485"/>
      <c r="GH471" s="1485"/>
    </row>
    <row r="472" spans="144:190" s="1295" customFormat="1" x14ac:dyDescent="0.25">
      <c r="EN472" s="1485"/>
      <c r="EO472" s="1485"/>
      <c r="EP472" s="1485"/>
      <c r="EQ472" s="1485"/>
      <c r="ER472" s="1485"/>
      <c r="ES472" s="1485"/>
      <c r="ET472" s="1485"/>
      <c r="EU472" s="1485"/>
      <c r="EV472" s="1485"/>
      <c r="EW472" s="1485"/>
      <c r="EX472" s="1486"/>
      <c r="EY472" s="1486"/>
      <c r="EZ472" s="1487"/>
      <c r="FA472" s="1487"/>
      <c r="FB472" s="1151"/>
      <c r="FC472" s="1151"/>
      <c r="FD472" s="1151"/>
      <c r="FE472" s="1151"/>
      <c r="FF472" s="1151"/>
      <c r="FG472" s="1151"/>
      <c r="FH472" s="1151"/>
      <c r="FI472" s="1151"/>
      <c r="FJ472" s="1151"/>
      <c r="FK472" s="1151"/>
      <c r="FL472" s="1151"/>
      <c r="FM472" s="1151"/>
      <c r="FN472" s="1151"/>
      <c r="FO472" s="1151"/>
      <c r="FP472" s="1151"/>
      <c r="FQ472" s="1151"/>
      <c r="FR472" s="1151"/>
      <c r="FS472" s="1151"/>
      <c r="FT472" s="1151"/>
      <c r="FU472" s="1151"/>
      <c r="FV472" s="1151"/>
      <c r="FW472" s="1151"/>
      <c r="FX472" s="1151"/>
      <c r="FY472" s="1488"/>
      <c r="FZ472" s="1488"/>
      <c r="GA472" s="1488"/>
      <c r="GB472" s="1485"/>
      <c r="GC472" s="1485"/>
      <c r="GD472" s="1485"/>
      <c r="GE472" s="1485"/>
      <c r="GF472" s="1485"/>
      <c r="GG472" s="1485"/>
      <c r="GH472" s="1485"/>
    </row>
    <row r="473" spans="144:190" s="1295" customFormat="1" x14ac:dyDescent="0.25">
      <c r="EN473" s="1485"/>
      <c r="EO473" s="1485"/>
      <c r="EP473" s="1485"/>
      <c r="EQ473" s="1485"/>
      <c r="ER473" s="1485"/>
      <c r="ES473" s="1485"/>
      <c r="ET473" s="1485"/>
      <c r="EU473" s="1485"/>
      <c r="EV473" s="1485"/>
      <c r="EW473" s="1485"/>
      <c r="EX473" s="1486"/>
      <c r="EY473" s="1486"/>
      <c r="EZ473" s="1487"/>
      <c r="FA473" s="1487"/>
      <c r="FB473" s="1151"/>
      <c r="FC473" s="1151"/>
      <c r="FD473" s="1151"/>
      <c r="FE473" s="1151"/>
      <c r="FF473" s="1151"/>
      <c r="FG473" s="1151"/>
      <c r="FH473" s="1151"/>
      <c r="FI473" s="1151"/>
      <c r="FJ473" s="1151"/>
      <c r="FK473" s="1151"/>
      <c r="FL473" s="1151"/>
      <c r="FM473" s="1151"/>
      <c r="FN473" s="1151"/>
      <c r="FO473" s="1151"/>
      <c r="FP473" s="1151"/>
      <c r="FQ473" s="1151"/>
      <c r="FR473" s="1151"/>
      <c r="FS473" s="1151"/>
      <c r="FT473" s="1151"/>
      <c r="FU473" s="1151"/>
      <c r="FV473" s="1151"/>
      <c r="FW473" s="1151"/>
      <c r="FX473" s="1151"/>
      <c r="FY473" s="1488"/>
      <c r="FZ473" s="1488"/>
      <c r="GA473" s="1488"/>
      <c r="GB473" s="1485"/>
      <c r="GC473" s="1485"/>
      <c r="GD473" s="1485"/>
      <c r="GE473" s="1485"/>
      <c r="GF473" s="1485"/>
      <c r="GG473" s="1485"/>
      <c r="GH473" s="1485"/>
    </row>
    <row r="474" spans="144:190" s="1295" customFormat="1" x14ac:dyDescent="0.25">
      <c r="EN474" s="1485"/>
      <c r="EO474" s="1485"/>
      <c r="EP474" s="1485"/>
      <c r="EQ474" s="1485"/>
      <c r="ER474" s="1485"/>
      <c r="ES474" s="1485"/>
      <c r="ET474" s="1485"/>
      <c r="EU474" s="1485"/>
      <c r="EV474" s="1485"/>
      <c r="EW474" s="1485"/>
      <c r="EX474" s="1486"/>
      <c r="EY474" s="1486"/>
      <c r="EZ474" s="1487"/>
      <c r="FA474" s="1487"/>
      <c r="FB474" s="1151"/>
      <c r="FC474" s="1151"/>
      <c r="FD474" s="1151"/>
      <c r="FE474" s="1151"/>
      <c r="FF474" s="1151"/>
      <c r="FG474" s="1151"/>
      <c r="FH474" s="1151"/>
      <c r="FI474" s="1151"/>
      <c r="FJ474" s="1151"/>
      <c r="FK474" s="1151"/>
      <c r="FL474" s="1151"/>
      <c r="FM474" s="1151"/>
      <c r="FN474" s="1151"/>
      <c r="FO474" s="1151"/>
      <c r="FP474" s="1151"/>
      <c r="FQ474" s="1151"/>
      <c r="FR474" s="1151"/>
      <c r="FS474" s="1151"/>
      <c r="FT474" s="1151"/>
      <c r="FU474" s="1151"/>
      <c r="FV474" s="1151"/>
      <c r="FW474" s="1151"/>
      <c r="FX474" s="1151"/>
      <c r="FY474" s="1488"/>
      <c r="FZ474" s="1488"/>
      <c r="GA474" s="1488"/>
      <c r="GB474" s="1485"/>
      <c r="GC474" s="1485"/>
      <c r="GD474" s="1485"/>
      <c r="GE474" s="1485"/>
      <c r="GF474" s="1485"/>
      <c r="GG474" s="1485"/>
      <c r="GH474" s="1485"/>
    </row>
    <row r="475" spans="144:190" s="1295" customFormat="1" x14ac:dyDescent="0.25">
      <c r="EN475" s="1485"/>
      <c r="EO475" s="1485"/>
      <c r="EP475" s="1485"/>
      <c r="EQ475" s="1485"/>
      <c r="ER475" s="1485"/>
      <c r="ES475" s="1485"/>
      <c r="ET475" s="1485"/>
      <c r="EU475" s="1485"/>
      <c r="EV475" s="1485"/>
      <c r="EW475" s="1485"/>
      <c r="EX475" s="1486"/>
      <c r="EY475" s="1486"/>
      <c r="EZ475" s="1487"/>
      <c r="FA475" s="1487"/>
      <c r="FB475" s="1151"/>
      <c r="FC475" s="1151"/>
      <c r="FD475" s="1151"/>
      <c r="FE475" s="1151"/>
      <c r="FF475" s="1151"/>
      <c r="FG475" s="1151"/>
      <c r="FH475" s="1151"/>
      <c r="FI475" s="1151"/>
      <c r="FJ475" s="1151"/>
      <c r="FK475" s="1151"/>
      <c r="FL475" s="1151"/>
      <c r="FM475" s="1151"/>
      <c r="FN475" s="1151"/>
      <c r="FO475" s="1151"/>
      <c r="FP475" s="1151"/>
      <c r="FQ475" s="1151"/>
      <c r="FR475" s="1151"/>
      <c r="FS475" s="1151"/>
      <c r="FT475" s="1151"/>
      <c r="FU475" s="1151"/>
      <c r="FV475" s="1151"/>
      <c r="FW475" s="1151"/>
      <c r="FX475" s="1151"/>
      <c r="FY475" s="1488"/>
      <c r="FZ475" s="1488"/>
      <c r="GA475" s="1488"/>
      <c r="GB475" s="1485"/>
      <c r="GC475" s="1485"/>
      <c r="GD475" s="1485"/>
      <c r="GE475" s="1485"/>
      <c r="GF475" s="1485"/>
      <c r="GG475" s="1485"/>
      <c r="GH475" s="1485"/>
    </row>
    <row r="476" spans="144:190" s="1295" customFormat="1" x14ac:dyDescent="0.25">
      <c r="EN476" s="1485"/>
      <c r="EO476" s="1485"/>
      <c r="EP476" s="1485"/>
      <c r="EQ476" s="1485"/>
      <c r="ER476" s="1485"/>
      <c r="ES476" s="1485"/>
      <c r="ET476" s="1485"/>
      <c r="EU476" s="1485"/>
      <c r="EV476" s="1485"/>
      <c r="EW476" s="1485"/>
      <c r="EX476" s="1486"/>
      <c r="EY476" s="1486"/>
      <c r="EZ476" s="1487"/>
      <c r="FA476" s="1487"/>
      <c r="FB476" s="1151"/>
      <c r="FC476" s="1151"/>
      <c r="FD476" s="1151"/>
      <c r="FE476" s="1151"/>
      <c r="FF476" s="1151"/>
      <c r="FG476" s="1151"/>
      <c r="FH476" s="1151"/>
      <c r="FI476" s="1151"/>
      <c r="FJ476" s="1151"/>
      <c r="FK476" s="1151"/>
      <c r="FL476" s="1151"/>
      <c r="FM476" s="1151"/>
      <c r="FN476" s="1151"/>
      <c r="FO476" s="1151"/>
      <c r="FP476" s="1151"/>
      <c r="FQ476" s="1151"/>
      <c r="FR476" s="1151"/>
      <c r="FS476" s="1151"/>
      <c r="FT476" s="1151"/>
      <c r="FU476" s="1151"/>
      <c r="FV476" s="1151"/>
      <c r="FW476" s="1151"/>
      <c r="FX476" s="1151"/>
      <c r="FY476" s="1488"/>
      <c r="FZ476" s="1488"/>
      <c r="GA476" s="1488"/>
      <c r="GB476" s="1485"/>
      <c r="GC476" s="1485"/>
      <c r="GD476" s="1485"/>
      <c r="GE476" s="1485"/>
      <c r="GF476" s="1485"/>
      <c r="GG476" s="1485"/>
      <c r="GH476" s="1485"/>
    </row>
    <row r="477" spans="144:190" s="1295" customFormat="1" x14ac:dyDescent="0.25">
      <c r="EN477" s="1485"/>
      <c r="EO477" s="1485"/>
      <c r="EP477" s="1485"/>
      <c r="EQ477" s="1485"/>
      <c r="ER477" s="1485"/>
      <c r="ES477" s="1485"/>
      <c r="ET477" s="1485"/>
      <c r="EU477" s="1485"/>
      <c r="EV477" s="1485"/>
      <c r="EW477" s="1485"/>
      <c r="EX477" s="1486"/>
      <c r="EY477" s="1486"/>
      <c r="EZ477" s="1487"/>
      <c r="FA477" s="1487"/>
      <c r="FB477" s="1151"/>
      <c r="FC477" s="1151"/>
      <c r="FD477" s="1151"/>
      <c r="FE477" s="1151"/>
      <c r="FF477" s="1151"/>
      <c r="FG477" s="1151"/>
      <c r="FH477" s="1151"/>
      <c r="FI477" s="1151"/>
      <c r="FJ477" s="1151"/>
      <c r="FK477" s="1151"/>
      <c r="FL477" s="1151"/>
      <c r="FM477" s="1151"/>
      <c r="FN477" s="1151"/>
      <c r="FO477" s="1151"/>
      <c r="FP477" s="1151"/>
      <c r="FQ477" s="1151"/>
      <c r="FR477" s="1151"/>
      <c r="FS477" s="1151"/>
      <c r="FT477" s="1151"/>
      <c r="FU477" s="1151"/>
      <c r="FV477" s="1151"/>
      <c r="FW477" s="1151"/>
      <c r="FX477" s="1151"/>
      <c r="FY477" s="1488"/>
      <c r="FZ477" s="1488"/>
      <c r="GA477" s="1488"/>
      <c r="GB477" s="1485"/>
      <c r="GC477" s="1485"/>
      <c r="GD477" s="1485"/>
      <c r="GE477" s="1485"/>
      <c r="GF477" s="1485"/>
      <c r="GG477" s="1485"/>
      <c r="GH477" s="1485"/>
    </row>
    <row r="478" spans="144:190" s="1295" customFormat="1" x14ac:dyDescent="0.25">
      <c r="EN478" s="1485"/>
      <c r="EO478" s="1485"/>
      <c r="EP478" s="1485"/>
      <c r="EQ478" s="1485"/>
      <c r="ER478" s="1485"/>
      <c r="ES478" s="1485"/>
      <c r="ET478" s="1485"/>
      <c r="EU478" s="1485"/>
      <c r="EV478" s="1485"/>
      <c r="EW478" s="1485"/>
      <c r="EX478" s="1486"/>
      <c r="EY478" s="1486"/>
      <c r="EZ478" s="1487"/>
      <c r="FA478" s="1487"/>
      <c r="FB478" s="1151"/>
      <c r="FC478" s="1151"/>
      <c r="FD478" s="1151"/>
      <c r="FE478" s="1151"/>
      <c r="FF478" s="1151"/>
      <c r="FG478" s="1151"/>
      <c r="FH478" s="1151"/>
      <c r="FI478" s="1151"/>
      <c r="FJ478" s="1151"/>
      <c r="FK478" s="1151"/>
      <c r="FL478" s="1151"/>
      <c r="FM478" s="1151"/>
      <c r="FN478" s="1151"/>
      <c r="FO478" s="1151"/>
      <c r="FP478" s="1151"/>
      <c r="FQ478" s="1151"/>
      <c r="FR478" s="1151"/>
      <c r="FS478" s="1151"/>
      <c r="FT478" s="1151"/>
      <c r="FU478" s="1151"/>
      <c r="FV478" s="1151"/>
      <c r="FW478" s="1151"/>
      <c r="FX478" s="1151"/>
      <c r="FY478" s="1488"/>
      <c r="FZ478" s="1488"/>
      <c r="GA478" s="1488"/>
      <c r="GB478" s="1485"/>
      <c r="GC478" s="1485"/>
      <c r="GD478" s="1485"/>
      <c r="GE478" s="1485"/>
      <c r="GF478" s="1485"/>
      <c r="GG478" s="1485"/>
      <c r="GH478" s="1485"/>
    </row>
    <row r="479" spans="144:190" s="1295" customFormat="1" x14ac:dyDescent="0.25">
      <c r="EN479" s="1485"/>
      <c r="EO479" s="1485"/>
      <c r="EP479" s="1485"/>
      <c r="EQ479" s="1485"/>
      <c r="ER479" s="1485"/>
      <c r="ES479" s="1485"/>
      <c r="ET479" s="1485"/>
      <c r="EU479" s="1485"/>
      <c r="EV479" s="1485"/>
      <c r="EW479" s="1485"/>
      <c r="EX479" s="1486"/>
      <c r="EY479" s="1486"/>
      <c r="EZ479" s="1487"/>
      <c r="FA479" s="1487"/>
      <c r="FB479" s="1151"/>
      <c r="FC479" s="1151"/>
      <c r="FD479" s="1151"/>
      <c r="FE479" s="1151"/>
      <c r="FF479" s="1151"/>
      <c r="FG479" s="1151"/>
      <c r="FH479" s="1151"/>
      <c r="FI479" s="1151"/>
      <c r="FJ479" s="1151"/>
      <c r="FK479" s="1151"/>
      <c r="FL479" s="1151"/>
      <c r="FM479" s="1151"/>
      <c r="FN479" s="1151"/>
      <c r="FO479" s="1151"/>
      <c r="FP479" s="1151"/>
      <c r="FQ479" s="1151"/>
      <c r="FR479" s="1151"/>
      <c r="FS479" s="1151"/>
      <c r="FT479" s="1151"/>
      <c r="FU479" s="1151"/>
      <c r="FV479" s="1151"/>
      <c r="FW479" s="1151"/>
      <c r="FX479" s="1151"/>
      <c r="FY479" s="1488"/>
      <c r="FZ479" s="1488"/>
      <c r="GA479" s="1488"/>
      <c r="GB479" s="1485"/>
      <c r="GC479" s="1485"/>
      <c r="GD479" s="1485"/>
      <c r="GE479" s="1485"/>
      <c r="GF479" s="1485"/>
      <c r="GG479" s="1485"/>
      <c r="GH479" s="1485"/>
    </row>
    <row r="480" spans="144:190" s="1295" customFormat="1" x14ac:dyDescent="0.25">
      <c r="EN480" s="1485"/>
      <c r="EO480" s="1485"/>
      <c r="EP480" s="1485"/>
      <c r="EQ480" s="1485"/>
      <c r="ER480" s="1485"/>
      <c r="ES480" s="1485"/>
      <c r="ET480" s="1485"/>
      <c r="EU480" s="1485"/>
      <c r="EV480" s="1485"/>
      <c r="EW480" s="1485"/>
      <c r="EX480" s="1486"/>
      <c r="EY480" s="1486"/>
      <c r="EZ480" s="1487"/>
      <c r="FA480" s="1487"/>
      <c r="FB480" s="1151"/>
      <c r="FC480" s="1151"/>
      <c r="FD480" s="1151"/>
      <c r="FE480" s="1151"/>
      <c r="FF480" s="1151"/>
      <c r="FG480" s="1151"/>
      <c r="FH480" s="1151"/>
      <c r="FI480" s="1151"/>
      <c r="FJ480" s="1151"/>
      <c r="FK480" s="1151"/>
      <c r="FL480" s="1151"/>
      <c r="FM480" s="1151"/>
      <c r="FN480" s="1151"/>
      <c r="FO480" s="1151"/>
      <c r="FP480" s="1151"/>
      <c r="FQ480" s="1151"/>
      <c r="FR480" s="1151"/>
      <c r="FS480" s="1151"/>
      <c r="FT480" s="1151"/>
      <c r="FU480" s="1151"/>
      <c r="FV480" s="1151"/>
      <c r="FW480" s="1151"/>
      <c r="FX480" s="1151"/>
      <c r="FY480" s="1488"/>
      <c r="FZ480" s="1488"/>
      <c r="GA480" s="1488"/>
      <c r="GB480" s="1485"/>
      <c r="GC480" s="1485"/>
      <c r="GD480" s="1485"/>
      <c r="GE480" s="1485"/>
      <c r="GF480" s="1485"/>
      <c r="GG480" s="1485"/>
      <c r="GH480" s="1485"/>
    </row>
    <row r="481" spans="144:190" s="1295" customFormat="1" x14ac:dyDescent="0.25">
      <c r="EN481" s="1485"/>
      <c r="EO481" s="1485"/>
      <c r="EP481" s="1485"/>
      <c r="EQ481" s="1485"/>
      <c r="ER481" s="1485"/>
      <c r="ES481" s="1485"/>
      <c r="ET481" s="1485"/>
      <c r="EU481" s="1485"/>
      <c r="EV481" s="1485"/>
      <c r="EW481" s="1485"/>
      <c r="EX481" s="1486"/>
      <c r="EY481" s="1486"/>
      <c r="EZ481" s="1487"/>
      <c r="FA481" s="1487"/>
      <c r="FB481" s="1151"/>
      <c r="FC481" s="1151"/>
      <c r="FD481" s="1151"/>
      <c r="FE481" s="1151"/>
      <c r="FF481" s="1151"/>
      <c r="FG481" s="1151"/>
      <c r="FH481" s="1151"/>
      <c r="FI481" s="1151"/>
      <c r="FJ481" s="1151"/>
      <c r="FK481" s="1151"/>
      <c r="FL481" s="1151"/>
      <c r="FM481" s="1151"/>
      <c r="FN481" s="1151"/>
      <c r="FO481" s="1151"/>
      <c r="FP481" s="1151"/>
      <c r="FQ481" s="1151"/>
      <c r="FR481" s="1151"/>
      <c r="FS481" s="1151"/>
      <c r="FT481" s="1151"/>
      <c r="FU481" s="1151"/>
      <c r="FV481" s="1151"/>
      <c r="FW481" s="1151"/>
      <c r="FX481" s="1151"/>
      <c r="FY481" s="1488"/>
      <c r="FZ481" s="1488"/>
      <c r="GA481" s="1488"/>
      <c r="GB481" s="1485"/>
      <c r="GC481" s="1485"/>
      <c r="GD481" s="1485"/>
      <c r="GE481" s="1485"/>
      <c r="GF481" s="1485"/>
      <c r="GG481" s="1485"/>
      <c r="GH481" s="1485"/>
    </row>
    <row r="482" spans="144:190" s="1295" customFormat="1" x14ac:dyDescent="0.25">
      <c r="EN482" s="1485"/>
      <c r="EO482" s="1485"/>
      <c r="EP482" s="1485"/>
      <c r="EQ482" s="1485"/>
      <c r="ER482" s="1485"/>
      <c r="ES482" s="1485"/>
      <c r="ET482" s="1485"/>
      <c r="EU482" s="1485"/>
      <c r="EV482" s="1485"/>
      <c r="EW482" s="1485"/>
      <c r="EX482" s="1486"/>
      <c r="EY482" s="1486"/>
      <c r="EZ482" s="1487"/>
      <c r="FA482" s="1487"/>
      <c r="FB482" s="1151"/>
      <c r="FC482" s="1151"/>
      <c r="FD482" s="1151"/>
      <c r="FE482" s="1151"/>
      <c r="FF482" s="1151"/>
      <c r="FG482" s="1151"/>
      <c r="FH482" s="1151"/>
      <c r="FI482" s="1151"/>
      <c r="FJ482" s="1151"/>
      <c r="FK482" s="1151"/>
      <c r="FL482" s="1151"/>
      <c r="FM482" s="1151"/>
      <c r="FN482" s="1151"/>
      <c r="FO482" s="1151"/>
      <c r="FP482" s="1151"/>
      <c r="FQ482" s="1151"/>
      <c r="FR482" s="1151"/>
      <c r="FS482" s="1151"/>
      <c r="FT482" s="1151"/>
      <c r="FU482" s="1151"/>
      <c r="FV482" s="1151"/>
      <c r="FW482" s="1151"/>
      <c r="FX482" s="1151"/>
      <c r="FY482" s="1488"/>
      <c r="FZ482" s="1488"/>
      <c r="GA482" s="1488"/>
      <c r="GB482" s="1485"/>
      <c r="GC482" s="1485"/>
      <c r="GD482" s="1485"/>
      <c r="GE482" s="1485"/>
      <c r="GF482" s="1485"/>
      <c r="GG482" s="1485"/>
      <c r="GH482" s="1485"/>
    </row>
    <row r="483" spans="144:190" s="1295" customFormat="1" x14ac:dyDescent="0.25">
      <c r="EN483" s="1485"/>
      <c r="EO483" s="1485"/>
      <c r="EP483" s="1485"/>
      <c r="EQ483" s="1485"/>
      <c r="ER483" s="1485"/>
      <c r="ES483" s="1485"/>
      <c r="ET483" s="1485"/>
      <c r="EU483" s="1485"/>
      <c r="EV483" s="1485"/>
      <c r="EW483" s="1485"/>
      <c r="EX483" s="1486"/>
      <c r="EY483" s="1486"/>
      <c r="EZ483" s="1487"/>
      <c r="FA483" s="1487"/>
      <c r="FB483" s="1151"/>
      <c r="FC483" s="1151"/>
      <c r="FD483" s="1151"/>
      <c r="FE483" s="1151"/>
      <c r="FF483" s="1151"/>
      <c r="FG483" s="1151"/>
      <c r="FH483" s="1151"/>
      <c r="FI483" s="1151"/>
      <c r="FJ483" s="1151"/>
      <c r="FK483" s="1151"/>
      <c r="FL483" s="1151"/>
      <c r="FM483" s="1151"/>
      <c r="FN483" s="1151"/>
      <c r="FO483" s="1151"/>
      <c r="FP483" s="1151"/>
      <c r="FQ483" s="1151"/>
      <c r="FR483" s="1151"/>
      <c r="FS483" s="1151"/>
      <c r="FT483" s="1151"/>
      <c r="FU483" s="1151"/>
      <c r="FV483" s="1151"/>
      <c r="FW483" s="1151"/>
      <c r="FX483" s="1151"/>
      <c r="FY483" s="1488"/>
      <c r="FZ483" s="1488"/>
      <c r="GA483" s="1488"/>
      <c r="GB483" s="1485"/>
      <c r="GC483" s="1485"/>
      <c r="GD483" s="1485"/>
      <c r="GE483" s="1485"/>
      <c r="GF483" s="1485"/>
      <c r="GG483" s="1485"/>
      <c r="GH483" s="1485"/>
    </row>
    <row r="484" spans="144:190" s="1295" customFormat="1" x14ac:dyDescent="0.25">
      <c r="EN484" s="1485"/>
      <c r="EO484" s="1485"/>
      <c r="EP484" s="1485"/>
      <c r="EQ484" s="1485"/>
      <c r="ER484" s="1485"/>
      <c r="ES484" s="1485"/>
      <c r="ET484" s="1485"/>
      <c r="EU484" s="1485"/>
      <c r="EV484" s="1485"/>
      <c r="EW484" s="1485"/>
      <c r="EX484" s="1486"/>
      <c r="EY484" s="1486"/>
      <c r="EZ484" s="1487"/>
      <c r="FA484" s="1487"/>
      <c r="FB484" s="1151"/>
      <c r="FC484" s="1151"/>
      <c r="FD484" s="1151"/>
      <c r="FE484" s="1151"/>
      <c r="FF484" s="1151"/>
      <c r="FG484" s="1151"/>
      <c r="FH484" s="1151"/>
      <c r="FI484" s="1151"/>
      <c r="FJ484" s="1151"/>
      <c r="FK484" s="1151"/>
      <c r="FL484" s="1151"/>
      <c r="FM484" s="1151"/>
      <c r="FN484" s="1151"/>
      <c r="FO484" s="1151"/>
      <c r="FP484" s="1151"/>
      <c r="FQ484" s="1151"/>
      <c r="FR484" s="1151"/>
      <c r="FS484" s="1151"/>
      <c r="FT484" s="1151"/>
      <c r="FU484" s="1151"/>
      <c r="FV484" s="1151"/>
      <c r="FW484" s="1151"/>
      <c r="FX484" s="1151"/>
      <c r="FY484" s="1488"/>
      <c r="FZ484" s="1488"/>
      <c r="GA484" s="1488"/>
      <c r="GB484" s="1485"/>
      <c r="GC484" s="1485"/>
      <c r="GD484" s="1485"/>
      <c r="GE484" s="1485"/>
      <c r="GF484" s="1485"/>
      <c r="GG484" s="1485"/>
      <c r="GH484" s="1485"/>
    </row>
    <row r="485" spans="144:190" s="1295" customFormat="1" x14ac:dyDescent="0.25">
      <c r="EN485" s="1485"/>
      <c r="EO485" s="1485"/>
      <c r="EP485" s="1485"/>
      <c r="EQ485" s="1485"/>
      <c r="ER485" s="1485"/>
      <c r="ES485" s="1485"/>
      <c r="ET485" s="1485"/>
      <c r="EU485" s="1485"/>
      <c r="EV485" s="1485"/>
      <c r="EW485" s="1485"/>
      <c r="EX485" s="1486"/>
      <c r="EY485" s="1486"/>
      <c r="EZ485" s="1487"/>
      <c r="FA485" s="1487"/>
      <c r="FB485" s="1151"/>
      <c r="FC485" s="1151"/>
      <c r="FD485" s="1151"/>
      <c r="FE485" s="1151"/>
      <c r="FF485" s="1151"/>
      <c r="FG485" s="1151"/>
      <c r="FH485" s="1151"/>
      <c r="FI485" s="1151"/>
      <c r="FJ485" s="1151"/>
      <c r="FK485" s="1151"/>
      <c r="FL485" s="1151"/>
      <c r="FM485" s="1151"/>
      <c r="FN485" s="1151"/>
      <c r="FO485" s="1151"/>
      <c r="FP485" s="1151"/>
      <c r="FQ485" s="1151"/>
      <c r="FR485" s="1151"/>
      <c r="FS485" s="1151"/>
      <c r="FT485" s="1151"/>
      <c r="FU485" s="1151"/>
      <c r="FV485" s="1151"/>
      <c r="FW485" s="1151"/>
      <c r="FX485" s="1151"/>
      <c r="FY485" s="1488"/>
      <c r="FZ485" s="1488"/>
      <c r="GA485" s="1488"/>
      <c r="GB485" s="1485"/>
      <c r="GC485" s="1485"/>
      <c r="GD485" s="1485"/>
      <c r="GE485" s="1485"/>
      <c r="GF485" s="1485"/>
      <c r="GG485" s="1485"/>
      <c r="GH485" s="1485"/>
    </row>
    <row r="486" spans="144:190" s="1295" customFormat="1" x14ac:dyDescent="0.25">
      <c r="EN486" s="1485"/>
      <c r="EO486" s="1485"/>
      <c r="EP486" s="1485"/>
      <c r="EQ486" s="1485"/>
      <c r="ER486" s="1485"/>
      <c r="ES486" s="1485"/>
      <c r="ET486" s="1485"/>
      <c r="EU486" s="1485"/>
      <c r="EV486" s="1485"/>
      <c r="EW486" s="1485"/>
      <c r="EX486" s="1486"/>
      <c r="EY486" s="1486"/>
      <c r="EZ486" s="1487"/>
      <c r="FA486" s="1487"/>
      <c r="FB486" s="1151"/>
      <c r="FC486" s="1151"/>
      <c r="FD486" s="1151"/>
      <c r="FE486" s="1151"/>
      <c r="FF486" s="1151"/>
      <c r="FG486" s="1151"/>
      <c r="FH486" s="1151"/>
      <c r="FI486" s="1151"/>
      <c r="FJ486" s="1151"/>
      <c r="FK486" s="1151"/>
      <c r="FL486" s="1151"/>
      <c r="FM486" s="1151"/>
      <c r="FN486" s="1151"/>
      <c r="FO486" s="1151"/>
      <c r="FP486" s="1151"/>
      <c r="FQ486" s="1151"/>
      <c r="FR486" s="1151"/>
      <c r="FS486" s="1151"/>
      <c r="FT486" s="1151"/>
      <c r="FU486" s="1151"/>
      <c r="FV486" s="1151"/>
      <c r="FW486" s="1151"/>
      <c r="FX486" s="1151"/>
      <c r="FY486" s="1488"/>
      <c r="FZ486" s="1488"/>
      <c r="GA486" s="1488"/>
      <c r="GB486" s="1485"/>
      <c r="GC486" s="1485"/>
      <c r="GD486" s="1485"/>
      <c r="GE486" s="1485"/>
      <c r="GF486" s="1485"/>
      <c r="GG486" s="1485"/>
      <c r="GH486" s="1485"/>
    </row>
    <row r="487" spans="144:190" s="1295" customFormat="1" x14ac:dyDescent="0.25">
      <c r="EN487" s="1485"/>
      <c r="EO487" s="1485"/>
      <c r="EP487" s="1485"/>
      <c r="EQ487" s="1485"/>
      <c r="ER487" s="1485"/>
      <c r="ES487" s="1485"/>
      <c r="ET487" s="1485"/>
      <c r="EU487" s="1485"/>
      <c r="EV487" s="1485"/>
      <c r="EW487" s="1485"/>
      <c r="EX487" s="1486"/>
      <c r="EY487" s="1486"/>
      <c r="EZ487" s="1487"/>
      <c r="FA487" s="1487"/>
      <c r="FB487" s="1151"/>
      <c r="FC487" s="1151"/>
      <c r="FD487" s="1151"/>
      <c r="FE487" s="1151"/>
      <c r="FF487" s="1151"/>
      <c r="FG487" s="1151"/>
      <c r="FH487" s="1151"/>
      <c r="FI487" s="1151"/>
      <c r="FJ487" s="1151"/>
      <c r="FK487" s="1151"/>
      <c r="FL487" s="1151"/>
      <c r="FM487" s="1151"/>
      <c r="FN487" s="1151"/>
      <c r="FO487" s="1151"/>
      <c r="FP487" s="1151"/>
      <c r="FQ487" s="1151"/>
      <c r="FR487" s="1151"/>
      <c r="FS487" s="1151"/>
      <c r="FT487" s="1151"/>
      <c r="FU487" s="1151"/>
      <c r="FV487" s="1151"/>
      <c r="FW487" s="1151"/>
      <c r="FX487" s="1151"/>
      <c r="FY487" s="1488"/>
      <c r="FZ487" s="1488"/>
      <c r="GA487" s="1488"/>
      <c r="GB487" s="1485"/>
      <c r="GC487" s="1485"/>
      <c r="GD487" s="1485"/>
      <c r="GE487" s="1485"/>
      <c r="GF487" s="1485"/>
      <c r="GG487" s="1485"/>
      <c r="GH487" s="1485"/>
    </row>
    <row r="488" spans="144:190" s="1295" customFormat="1" x14ac:dyDescent="0.25">
      <c r="EN488" s="1485"/>
      <c r="EO488" s="1485"/>
      <c r="EP488" s="1485"/>
      <c r="EQ488" s="1485"/>
      <c r="ER488" s="1485"/>
      <c r="ES488" s="1485"/>
      <c r="ET488" s="1485"/>
      <c r="EU488" s="1485"/>
      <c r="EV488" s="1485"/>
      <c r="EW488" s="1485"/>
      <c r="EX488" s="1486"/>
      <c r="EY488" s="1486"/>
      <c r="EZ488" s="1487"/>
      <c r="FA488" s="1487"/>
      <c r="FB488" s="1151"/>
      <c r="FC488" s="1151"/>
      <c r="FD488" s="1151"/>
      <c r="FE488" s="1151"/>
      <c r="FF488" s="1151"/>
      <c r="FG488" s="1151"/>
      <c r="FH488" s="1151"/>
      <c r="FI488" s="1151"/>
      <c r="FJ488" s="1151"/>
      <c r="FK488" s="1151"/>
      <c r="FL488" s="1151"/>
      <c r="FM488" s="1151"/>
      <c r="FN488" s="1151"/>
      <c r="FO488" s="1151"/>
      <c r="FP488" s="1151"/>
      <c r="FQ488" s="1151"/>
      <c r="FR488" s="1151"/>
      <c r="FS488" s="1151"/>
      <c r="FT488" s="1151"/>
      <c r="FU488" s="1151"/>
      <c r="FV488" s="1151"/>
      <c r="FW488" s="1151"/>
      <c r="FX488" s="1151"/>
      <c r="FY488" s="1488"/>
      <c r="FZ488" s="1488"/>
      <c r="GA488" s="1488"/>
      <c r="GB488" s="1485"/>
      <c r="GC488" s="1485"/>
      <c r="GD488" s="1485"/>
      <c r="GE488" s="1485"/>
      <c r="GF488" s="1485"/>
      <c r="GG488" s="1485"/>
      <c r="GH488" s="1485"/>
    </row>
    <row r="489" spans="144:190" s="1295" customFormat="1" x14ac:dyDescent="0.25">
      <c r="EN489" s="1485"/>
      <c r="EO489" s="1485"/>
      <c r="EP489" s="1485"/>
      <c r="EQ489" s="1485"/>
      <c r="ER489" s="1485"/>
      <c r="ES489" s="1485"/>
      <c r="ET489" s="1485"/>
      <c r="EU489" s="1485"/>
      <c r="EV489" s="1485"/>
      <c r="EW489" s="1485"/>
      <c r="EX489" s="1486"/>
      <c r="EY489" s="1486"/>
      <c r="EZ489" s="1487"/>
      <c r="FA489" s="1487"/>
      <c r="FB489" s="1151"/>
      <c r="FC489" s="1151"/>
      <c r="FD489" s="1151"/>
      <c r="FE489" s="1151"/>
      <c r="FF489" s="1151"/>
      <c r="FG489" s="1151"/>
      <c r="FH489" s="1151"/>
      <c r="FI489" s="1151"/>
      <c r="FJ489" s="1151"/>
      <c r="FK489" s="1151"/>
      <c r="FL489" s="1151"/>
      <c r="FM489" s="1151"/>
      <c r="FN489" s="1151"/>
      <c r="FO489" s="1151"/>
      <c r="FP489" s="1151"/>
      <c r="FQ489" s="1151"/>
      <c r="FR489" s="1151"/>
      <c r="FS489" s="1151"/>
      <c r="FT489" s="1151"/>
      <c r="FU489" s="1151"/>
      <c r="FV489" s="1151"/>
      <c r="FW489" s="1151"/>
      <c r="FX489" s="1151"/>
      <c r="FY489" s="1488"/>
      <c r="FZ489" s="1488"/>
      <c r="GA489" s="1488"/>
      <c r="GB489" s="1485"/>
      <c r="GC489" s="1485"/>
      <c r="GD489" s="1485"/>
      <c r="GE489" s="1485"/>
      <c r="GF489" s="1485"/>
      <c r="GG489" s="1485"/>
      <c r="GH489" s="1485"/>
    </row>
    <row r="490" spans="144:190" s="1295" customFormat="1" x14ac:dyDescent="0.25">
      <c r="EN490" s="1485"/>
      <c r="EO490" s="1485"/>
      <c r="EP490" s="1485"/>
      <c r="EQ490" s="1485"/>
      <c r="ER490" s="1485"/>
      <c r="ES490" s="1485"/>
      <c r="ET490" s="1485"/>
      <c r="EU490" s="1485"/>
      <c r="EV490" s="1485"/>
      <c r="EW490" s="1485"/>
      <c r="EX490" s="1486"/>
      <c r="EY490" s="1486"/>
      <c r="EZ490" s="1487"/>
      <c r="FA490" s="1487"/>
      <c r="FB490" s="1151"/>
      <c r="FC490" s="1151"/>
      <c r="FD490" s="1151"/>
      <c r="FE490" s="1151"/>
      <c r="FF490" s="1151"/>
      <c r="FG490" s="1151"/>
      <c r="FH490" s="1151"/>
      <c r="FI490" s="1151"/>
      <c r="FJ490" s="1151"/>
      <c r="FK490" s="1151"/>
      <c r="FL490" s="1151"/>
      <c r="FM490" s="1151"/>
      <c r="FN490" s="1151"/>
      <c r="FO490" s="1151"/>
      <c r="FP490" s="1151"/>
      <c r="FQ490" s="1151"/>
      <c r="FR490" s="1151"/>
      <c r="FS490" s="1151"/>
      <c r="FT490" s="1151"/>
      <c r="FU490" s="1151"/>
      <c r="FV490" s="1151"/>
      <c r="FW490" s="1151"/>
      <c r="FX490" s="1151"/>
      <c r="FY490" s="1488"/>
      <c r="FZ490" s="1488"/>
      <c r="GA490" s="1488"/>
      <c r="GB490" s="1485"/>
      <c r="GC490" s="1485"/>
      <c r="GD490" s="1485"/>
      <c r="GE490" s="1485"/>
      <c r="GF490" s="1485"/>
      <c r="GG490" s="1485"/>
      <c r="GH490" s="1485"/>
    </row>
    <row r="491" spans="144:190" s="1295" customFormat="1" x14ac:dyDescent="0.25">
      <c r="EN491" s="1485"/>
      <c r="EO491" s="1485"/>
      <c r="EP491" s="1485"/>
      <c r="EQ491" s="1485"/>
      <c r="ER491" s="1485"/>
      <c r="ES491" s="1485"/>
      <c r="ET491" s="1485"/>
      <c r="EU491" s="1485"/>
      <c r="EV491" s="1485"/>
      <c r="EW491" s="1485"/>
      <c r="EX491" s="1486"/>
      <c r="EY491" s="1486"/>
      <c r="EZ491" s="1487"/>
      <c r="FA491" s="1487"/>
      <c r="FB491" s="1151"/>
      <c r="FC491" s="1151"/>
      <c r="FD491" s="1151"/>
      <c r="FE491" s="1151"/>
      <c r="FF491" s="1151"/>
      <c r="FG491" s="1151"/>
      <c r="FH491" s="1151"/>
      <c r="FI491" s="1151"/>
      <c r="FJ491" s="1151"/>
      <c r="FK491" s="1151"/>
      <c r="FL491" s="1151"/>
      <c r="FM491" s="1151"/>
      <c r="FN491" s="1151"/>
      <c r="FO491" s="1151"/>
      <c r="FP491" s="1151"/>
      <c r="FQ491" s="1151"/>
      <c r="FR491" s="1151"/>
      <c r="FS491" s="1151"/>
      <c r="FT491" s="1151"/>
      <c r="FU491" s="1151"/>
      <c r="FV491" s="1151"/>
      <c r="FW491" s="1151"/>
      <c r="FX491" s="1151"/>
      <c r="FY491" s="1488"/>
      <c r="FZ491" s="1488"/>
      <c r="GA491" s="1488"/>
      <c r="GB491" s="1485"/>
      <c r="GC491" s="1485"/>
      <c r="GD491" s="1485"/>
      <c r="GE491" s="1485"/>
      <c r="GF491" s="1485"/>
      <c r="GG491" s="1485"/>
      <c r="GH491" s="1485"/>
    </row>
    <row r="492" spans="144:190" s="1295" customFormat="1" x14ac:dyDescent="0.25">
      <c r="EN492" s="1485"/>
      <c r="EO492" s="1485"/>
      <c r="EP492" s="1485"/>
      <c r="EQ492" s="1485"/>
      <c r="ER492" s="1485"/>
      <c r="ES492" s="1485"/>
      <c r="ET492" s="1485"/>
      <c r="EU492" s="1485"/>
      <c r="EV492" s="1485"/>
      <c r="EW492" s="1485"/>
      <c r="EX492" s="1486"/>
      <c r="EY492" s="1486"/>
      <c r="EZ492" s="1487"/>
      <c r="FA492" s="1487"/>
      <c r="FB492" s="1151"/>
      <c r="FC492" s="1151"/>
      <c r="FD492" s="1151"/>
      <c r="FE492" s="1151"/>
      <c r="FF492" s="1151"/>
      <c r="FG492" s="1151"/>
      <c r="FH492" s="1151"/>
      <c r="FI492" s="1151"/>
      <c r="FJ492" s="1151"/>
      <c r="FK492" s="1151"/>
      <c r="FL492" s="1151"/>
      <c r="FM492" s="1151"/>
      <c r="FN492" s="1151"/>
      <c r="FO492" s="1151"/>
      <c r="FP492" s="1151"/>
      <c r="FQ492" s="1151"/>
      <c r="FR492" s="1151"/>
      <c r="FS492" s="1151"/>
      <c r="FT492" s="1151"/>
      <c r="FU492" s="1151"/>
      <c r="FV492" s="1151"/>
      <c r="FW492" s="1151"/>
      <c r="FX492" s="1151"/>
      <c r="FY492" s="1488"/>
      <c r="FZ492" s="1488"/>
      <c r="GA492" s="1488"/>
      <c r="GB492" s="1485"/>
      <c r="GC492" s="1485"/>
      <c r="GD492" s="1485"/>
      <c r="GE492" s="1485"/>
      <c r="GF492" s="1485"/>
      <c r="GG492" s="1485"/>
      <c r="GH492" s="1485"/>
    </row>
    <row r="493" spans="144:190" s="1295" customFormat="1" x14ac:dyDescent="0.25">
      <c r="EN493" s="1485"/>
      <c r="EO493" s="1485"/>
      <c r="EP493" s="1485"/>
      <c r="EQ493" s="1485"/>
      <c r="ER493" s="1485"/>
      <c r="ES493" s="1485"/>
      <c r="ET493" s="1485"/>
      <c r="EU493" s="1485"/>
      <c r="EV493" s="1485"/>
      <c r="EW493" s="1485"/>
      <c r="EX493" s="1486"/>
      <c r="EY493" s="1486"/>
      <c r="EZ493" s="1487"/>
      <c r="FA493" s="1487"/>
      <c r="FB493" s="1151"/>
      <c r="FC493" s="1151"/>
      <c r="FD493" s="1151"/>
      <c r="FE493" s="1151"/>
      <c r="FF493" s="1151"/>
      <c r="FG493" s="1151"/>
      <c r="FH493" s="1151"/>
      <c r="FI493" s="1151"/>
      <c r="FJ493" s="1151"/>
      <c r="FK493" s="1151"/>
      <c r="FL493" s="1151"/>
      <c r="FM493" s="1151"/>
      <c r="FN493" s="1151"/>
      <c r="FO493" s="1151"/>
      <c r="FP493" s="1151"/>
      <c r="FQ493" s="1151"/>
      <c r="FR493" s="1151"/>
      <c r="FS493" s="1151"/>
      <c r="FT493" s="1151"/>
      <c r="FU493" s="1151"/>
      <c r="FV493" s="1151"/>
      <c r="FW493" s="1151"/>
      <c r="FX493" s="1151"/>
      <c r="FY493" s="1488"/>
      <c r="FZ493" s="1488"/>
      <c r="GA493" s="1488"/>
      <c r="GB493" s="1485"/>
      <c r="GC493" s="1485"/>
      <c r="GD493" s="1485"/>
      <c r="GE493" s="1485"/>
      <c r="GF493" s="1485"/>
      <c r="GG493" s="1485"/>
      <c r="GH493" s="1485"/>
    </row>
    <row r="494" spans="144:190" s="1295" customFormat="1" x14ac:dyDescent="0.25">
      <c r="EN494" s="1485"/>
      <c r="EO494" s="1485"/>
      <c r="EP494" s="1485"/>
      <c r="EQ494" s="1485"/>
      <c r="ER494" s="1485"/>
      <c r="ES494" s="1485"/>
      <c r="ET494" s="1485"/>
      <c r="EU494" s="1485"/>
      <c r="EV494" s="1485"/>
      <c r="EW494" s="1485"/>
      <c r="EX494" s="1486"/>
      <c r="EY494" s="1486"/>
      <c r="EZ494" s="1487"/>
      <c r="FA494" s="1487"/>
      <c r="FB494" s="1151"/>
      <c r="FC494" s="1151"/>
      <c r="FD494" s="1151"/>
      <c r="FE494" s="1151"/>
      <c r="FF494" s="1151"/>
      <c r="FG494" s="1151"/>
      <c r="FH494" s="1151"/>
      <c r="FI494" s="1151"/>
      <c r="FJ494" s="1151"/>
      <c r="FK494" s="1151"/>
      <c r="FL494" s="1151"/>
      <c r="FM494" s="1151"/>
      <c r="FN494" s="1151"/>
      <c r="FO494" s="1151"/>
      <c r="FP494" s="1151"/>
      <c r="FQ494" s="1151"/>
      <c r="FR494" s="1151"/>
      <c r="FS494" s="1151"/>
      <c r="FT494" s="1151"/>
      <c r="FU494" s="1151"/>
      <c r="FV494" s="1151"/>
      <c r="FW494" s="1151"/>
      <c r="FX494" s="1151"/>
      <c r="FY494" s="1488"/>
      <c r="FZ494" s="1488"/>
      <c r="GA494" s="1488"/>
      <c r="GB494" s="1485"/>
      <c r="GC494" s="1485"/>
      <c r="GD494" s="1485"/>
      <c r="GE494" s="1485"/>
      <c r="GF494" s="1485"/>
      <c r="GG494" s="1485"/>
      <c r="GH494" s="1485"/>
    </row>
    <row r="495" spans="144:190" s="1295" customFormat="1" x14ac:dyDescent="0.25">
      <c r="EN495" s="1485"/>
      <c r="EO495" s="1485"/>
      <c r="EP495" s="1485"/>
      <c r="EQ495" s="1485"/>
      <c r="ER495" s="1485"/>
      <c r="ES495" s="1485"/>
      <c r="ET495" s="1485"/>
      <c r="EU495" s="1485"/>
      <c r="EV495" s="1485"/>
      <c r="EW495" s="1485"/>
      <c r="EX495" s="1486"/>
      <c r="EY495" s="1486"/>
      <c r="EZ495" s="1487"/>
      <c r="FA495" s="1487"/>
      <c r="FB495" s="1151"/>
      <c r="FC495" s="1151"/>
      <c r="FD495" s="1151"/>
      <c r="FE495" s="1151"/>
      <c r="FF495" s="1151"/>
      <c r="FG495" s="1151"/>
      <c r="FH495" s="1151"/>
      <c r="FI495" s="1151"/>
      <c r="FJ495" s="1151"/>
      <c r="FK495" s="1151"/>
      <c r="FL495" s="1151"/>
      <c r="FM495" s="1151"/>
      <c r="FN495" s="1151"/>
      <c r="FO495" s="1151"/>
      <c r="FP495" s="1151"/>
      <c r="FQ495" s="1151"/>
      <c r="FR495" s="1151"/>
      <c r="FS495" s="1151"/>
      <c r="FT495" s="1151"/>
      <c r="FU495" s="1151"/>
      <c r="FV495" s="1151"/>
      <c r="FW495" s="1151"/>
      <c r="FX495" s="1151"/>
      <c r="FY495" s="1488"/>
      <c r="FZ495" s="1488"/>
      <c r="GA495" s="1488"/>
      <c r="GB495" s="1485"/>
      <c r="GC495" s="1485"/>
      <c r="GD495" s="1485"/>
      <c r="GE495" s="1485"/>
      <c r="GF495" s="1485"/>
      <c r="GG495" s="1485"/>
      <c r="GH495" s="1485"/>
    </row>
    <row r="496" spans="144:190" s="1295" customFormat="1" x14ac:dyDescent="0.25">
      <c r="EN496" s="1485"/>
      <c r="EO496" s="1485"/>
      <c r="EP496" s="1485"/>
      <c r="EQ496" s="1485"/>
      <c r="ER496" s="1485"/>
      <c r="ES496" s="1485"/>
      <c r="ET496" s="1485"/>
      <c r="EU496" s="1485"/>
      <c r="EV496" s="1485"/>
      <c r="EW496" s="1485"/>
      <c r="EX496" s="1486"/>
      <c r="EY496" s="1486"/>
      <c r="EZ496" s="1487"/>
      <c r="FA496" s="1487"/>
      <c r="FB496" s="1151"/>
      <c r="FC496" s="1151"/>
      <c r="FD496" s="1151"/>
      <c r="FE496" s="1151"/>
      <c r="FF496" s="1151"/>
      <c r="FG496" s="1151"/>
      <c r="FH496" s="1151"/>
      <c r="FI496" s="1151"/>
      <c r="FJ496" s="1151"/>
      <c r="FK496" s="1151"/>
      <c r="FL496" s="1151"/>
      <c r="FM496" s="1151"/>
      <c r="FN496" s="1151"/>
      <c r="FO496" s="1151"/>
      <c r="FP496" s="1151"/>
      <c r="FQ496" s="1151"/>
      <c r="FR496" s="1151"/>
      <c r="FS496" s="1151"/>
      <c r="FT496" s="1151"/>
      <c r="FU496" s="1151"/>
      <c r="FV496" s="1151"/>
      <c r="FW496" s="1151"/>
      <c r="FX496" s="1151"/>
      <c r="FY496" s="1488"/>
      <c r="FZ496" s="1488"/>
      <c r="GA496" s="1488"/>
      <c r="GB496" s="1485"/>
      <c r="GC496" s="1485"/>
      <c r="GD496" s="1485"/>
      <c r="GE496" s="1485"/>
      <c r="GF496" s="1485"/>
      <c r="GG496" s="1485"/>
      <c r="GH496" s="1485"/>
    </row>
    <row r="497" spans="144:190" s="1295" customFormat="1" x14ac:dyDescent="0.25">
      <c r="EN497" s="1485"/>
      <c r="EO497" s="1485"/>
      <c r="EP497" s="1485"/>
      <c r="EQ497" s="1485"/>
      <c r="ER497" s="1485"/>
      <c r="ES497" s="1485"/>
      <c r="ET497" s="1485"/>
      <c r="EU497" s="1485"/>
      <c r="EV497" s="1485"/>
      <c r="EW497" s="1485"/>
      <c r="EX497" s="1486"/>
      <c r="EY497" s="1486"/>
      <c r="EZ497" s="1487"/>
      <c r="FA497" s="1487"/>
      <c r="FB497" s="1151"/>
      <c r="FC497" s="1151"/>
      <c r="FD497" s="1151"/>
      <c r="FE497" s="1151"/>
      <c r="FF497" s="1151"/>
      <c r="FG497" s="1151"/>
      <c r="FH497" s="1151"/>
      <c r="FI497" s="1151"/>
      <c r="FJ497" s="1151"/>
      <c r="FK497" s="1151"/>
      <c r="FL497" s="1151"/>
      <c r="FM497" s="1151"/>
      <c r="FN497" s="1151"/>
      <c r="FO497" s="1151"/>
      <c r="FP497" s="1151"/>
      <c r="FQ497" s="1151"/>
      <c r="FR497" s="1151"/>
      <c r="FS497" s="1151"/>
      <c r="FT497" s="1151"/>
      <c r="FU497" s="1151"/>
      <c r="FV497" s="1151"/>
      <c r="FW497" s="1151"/>
      <c r="FX497" s="1151"/>
      <c r="FY497" s="1488"/>
      <c r="FZ497" s="1488"/>
      <c r="GA497" s="1488"/>
      <c r="GB497" s="1485"/>
      <c r="GC497" s="1485"/>
      <c r="GD497" s="1485"/>
      <c r="GE497" s="1485"/>
      <c r="GF497" s="1485"/>
      <c r="GG497" s="1485"/>
      <c r="GH497" s="1485"/>
    </row>
    <row r="498" spans="144:190" s="1295" customFormat="1" x14ac:dyDescent="0.25">
      <c r="EN498" s="1485"/>
      <c r="EO498" s="1485"/>
      <c r="EP498" s="1485"/>
      <c r="EQ498" s="1485"/>
      <c r="ER498" s="1485"/>
      <c r="ES498" s="1485"/>
      <c r="ET498" s="1485"/>
      <c r="EU498" s="1485"/>
      <c r="EV498" s="1485"/>
      <c r="EW498" s="1485"/>
      <c r="EX498" s="1486"/>
      <c r="EY498" s="1486"/>
      <c r="EZ498" s="1487"/>
      <c r="FA498" s="1487"/>
      <c r="FB498" s="1151"/>
      <c r="FC498" s="1151"/>
      <c r="FD498" s="1151"/>
      <c r="FE498" s="1151"/>
      <c r="FF498" s="1151"/>
      <c r="FG498" s="1151"/>
      <c r="FH498" s="1151"/>
      <c r="FI498" s="1151"/>
      <c r="FJ498" s="1151"/>
      <c r="FK498" s="1151"/>
      <c r="FL498" s="1151"/>
      <c r="FM498" s="1151"/>
      <c r="FN498" s="1151"/>
      <c r="FO498" s="1151"/>
      <c r="FP498" s="1151"/>
      <c r="FQ498" s="1151"/>
      <c r="FR498" s="1151"/>
      <c r="FS498" s="1151"/>
      <c r="FT498" s="1151"/>
      <c r="FU498" s="1151"/>
      <c r="FV498" s="1151"/>
      <c r="FW498" s="1151"/>
      <c r="FX498" s="1151"/>
      <c r="FY498" s="1488"/>
      <c r="FZ498" s="1488"/>
      <c r="GA498" s="1488"/>
      <c r="GB498" s="1485"/>
      <c r="GC498" s="1485"/>
      <c r="GD498" s="1485"/>
      <c r="GE498" s="1485"/>
      <c r="GF498" s="1485"/>
      <c r="GG498" s="1485"/>
      <c r="GH498" s="1485"/>
    </row>
    <row r="499" spans="144:190" s="1295" customFormat="1" x14ac:dyDescent="0.25">
      <c r="EN499" s="1485"/>
      <c r="EO499" s="1485"/>
      <c r="EP499" s="1485"/>
      <c r="EQ499" s="1485"/>
      <c r="ER499" s="1485"/>
      <c r="ES499" s="1485"/>
      <c r="ET499" s="1485"/>
      <c r="EU499" s="1485"/>
      <c r="EV499" s="1485"/>
      <c r="EW499" s="1485"/>
      <c r="EX499" s="1486"/>
      <c r="EY499" s="1486"/>
      <c r="EZ499" s="1487"/>
      <c r="FA499" s="1487"/>
      <c r="FB499" s="1151"/>
      <c r="FC499" s="1151"/>
      <c r="FD499" s="1151"/>
      <c r="FE499" s="1151"/>
      <c r="FF499" s="1151"/>
      <c r="FG499" s="1151"/>
      <c r="FH499" s="1151"/>
      <c r="FI499" s="1151"/>
      <c r="FJ499" s="1151"/>
      <c r="FK499" s="1151"/>
      <c r="FL499" s="1151"/>
      <c r="FM499" s="1151"/>
      <c r="FN499" s="1151"/>
      <c r="FO499" s="1151"/>
      <c r="FP499" s="1151"/>
      <c r="FQ499" s="1151"/>
      <c r="FR499" s="1151"/>
      <c r="FS499" s="1151"/>
      <c r="FT499" s="1151"/>
      <c r="FU499" s="1151"/>
      <c r="FV499" s="1151"/>
      <c r="FW499" s="1151"/>
      <c r="FX499" s="1151"/>
      <c r="FY499" s="1488"/>
      <c r="FZ499" s="1488"/>
      <c r="GA499" s="1488"/>
      <c r="GB499" s="1485"/>
      <c r="GC499" s="1485"/>
      <c r="GD499" s="1485"/>
      <c r="GE499" s="1485"/>
      <c r="GF499" s="1485"/>
      <c r="GG499" s="1485"/>
      <c r="GH499" s="1485"/>
    </row>
    <row r="500" spans="144:190" s="1295" customFormat="1" x14ac:dyDescent="0.25">
      <c r="EN500" s="1485"/>
      <c r="EO500" s="1485"/>
      <c r="EP500" s="1485"/>
      <c r="EQ500" s="1485"/>
      <c r="ER500" s="1485"/>
      <c r="ES500" s="1485"/>
      <c r="ET500" s="1485"/>
      <c r="EU500" s="1485"/>
      <c r="EV500" s="1485"/>
      <c r="EW500" s="1485"/>
      <c r="EX500" s="1486"/>
      <c r="EY500" s="1486"/>
      <c r="EZ500" s="1487"/>
      <c r="FA500" s="1487"/>
      <c r="FB500" s="1151"/>
      <c r="FC500" s="1151"/>
      <c r="FD500" s="1151"/>
      <c r="FE500" s="1151"/>
      <c r="FF500" s="1151"/>
      <c r="FG500" s="1151"/>
      <c r="FH500" s="1151"/>
      <c r="FI500" s="1151"/>
      <c r="FJ500" s="1151"/>
      <c r="FK500" s="1151"/>
      <c r="FL500" s="1151"/>
      <c r="FM500" s="1151"/>
      <c r="FN500" s="1151"/>
      <c r="FO500" s="1151"/>
      <c r="FP500" s="1151"/>
      <c r="FQ500" s="1151"/>
      <c r="FR500" s="1151"/>
      <c r="FS500" s="1151"/>
      <c r="FT500" s="1151"/>
      <c r="FU500" s="1151"/>
      <c r="FV500" s="1151"/>
      <c r="FW500" s="1151"/>
      <c r="FX500" s="1151"/>
      <c r="FY500" s="1488"/>
      <c r="FZ500" s="1488"/>
      <c r="GA500" s="1488"/>
      <c r="GB500" s="1485"/>
      <c r="GC500" s="1485"/>
      <c r="GD500" s="1485"/>
      <c r="GE500" s="1485"/>
      <c r="GF500" s="1485"/>
      <c r="GG500" s="1485"/>
      <c r="GH500" s="1485"/>
    </row>
    <row r="501" spans="144:190" s="1295" customFormat="1" x14ac:dyDescent="0.25">
      <c r="EN501" s="1485"/>
      <c r="EO501" s="1485"/>
      <c r="EP501" s="1485"/>
      <c r="EQ501" s="1485"/>
      <c r="ER501" s="1485"/>
      <c r="ES501" s="1485"/>
      <c r="ET501" s="1485"/>
      <c r="EU501" s="1485"/>
      <c r="EV501" s="1485"/>
      <c r="EW501" s="1485"/>
      <c r="EX501" s="1486"/>
      <c r="EY501" s="1486"/>
      <c r="EZ501" s="1487"/>
      <c r="FA501" s="1487"/>
      <c r="FB501" s="1151"/>
      <c r="FC501" s="1151"/>
      <c r="FD501" s="1151"/>
      <c r="FE501" s="1151"/>
      <c r="FF501" s="1151"/>
      <c r="FG501" s="1151"/>
      <c r="FH501" s="1151"/>
      <c r="FI501" s="1151"/>
      <c r="FJ501" s="1151"/>
      <c r="FK501" s="1151"/>
      <c r="FL501" s="1151"/>
      <c r="FM501" s="1151"/>
      <c r="FN501" s="1151"/>
      <c r="FO501" s="1151"/>
      <c r="FP501" s="1151"/>
      <c r="FQ501" s="1151"/>
      <c r="FR501" s="1151"/>
      <c r="FS501" s="1151"/>
      <c r="FT501" s="1151"/>
      <c r="FU501" s="1151"/>
      <c r="FV501" s="1151"/>
      <c r="FW501" s="1151"/>
      <c r="FX501" s="1151"/>
      <c r="FY501" s="1488"/>
      <c r="FZ501" s="1488"/>
      <c r="GA501" s="1488"/>
      <c r="GB501" s="1485"/>
      <c r="GC501" s="1485"/>
      <c r="GD501" s="1485"/>
      <c r="GE501" s="1485"/>
      <c r="GF501" s="1485"/>
      <c r="GG501" s="1485"/>
      <c r="GH501" s="1485"/>
    </row>
    <row r="502" spans="144:190" s="1295" customFormat="1" x14ac:dyDescent="0.25">
      <c r="EN502" s="1485"/>
      <c r="EO502" s="1485"/>
      <c r="EP502" s="1485"/>
      <c r="EQ502" s="1485"/>
      <c r="ER502" s="1485"/>
      <c r="ES502" s="1485"/>
      <c r="ET502" s="1485"/>
      <c r="EU502" s="1485"/>
      <c r="EV502" s="1485"/>
      <c r="EW502" s="1485"/>
      <c r="EX502" s="1486"/>
      <c r="EY502" s="1486"/>
      <c r="EZ502" s="1487"/>
      <c r="FA502" s="1487"/>
      <c r="FB502" s="1151"/>
      <c r="FC502" s="1151"/>
      <c r="FD502" s="1151"/>
      <c r="FE502" s="1151"/>
      <c r="FF502" s="1151"/>
      <c r="FG502" s="1151"/>
      <c r="FH502" s="1151"/>
      <c r="FI502" s="1151"/>
      <c r="FJ502" s="1151"/>
      <c r="FK502" s="1151"/>
      <c r="FL502" s="1151"/>
      <c r="FM502" s="1151"/>
      <c r="FN502" s="1151"/>
      <c r="FO502" s="1151"/>
      <c r="FP502" s="1151"/>
      <c r="FQ502" s="1151"/>
      <c r="FR502" s="1151"/>
      <c r="FS502" s="1151"/>
      <c r="FT502" s="1151"/>
      <c r="FU502" s="1151"/>
      <c r="FV502" s="1151"/>
      <c r="FW502" s="1151"/>
      <c r="FX502" s="1151"/>
      <c r="FY502" s="1488"/>
      <c r="FZ502" s="1488"/>
      <c r="GA502" s="1488"/>
      <c r="GB502" s="1485"/>
      <c r="GC502" s="1485"/>
      <c r="GD502" s="1485"/>
      <c r="GE502" s="1485"/>
      <c r="GF502" s="1485"/>
      <c r="GG502" s="1485"/>
      <c r="GH502" s="1485"/>
    </row>
    <row r="503" spans="144:190" s="1295" customFormat="1" x14ac:dyDescent="0.25">
      <c r="EN503" s="1485"/>
      <c r="EO503" s="1485"/>
      <c r="EP503" s="1485"/>
      <c r="EQ503" s="1485"/>
      <c r="ER503" s="1485"/>
      <c r="ES503" s="1485"/>
      <c r="ET503" s="1485"/>
      <c r="EU503" s="1485"/>
      <c r="EV503" s="1485"/>
      <c r="EW503" s="1485"/>
      <c r="EX503" s="1486"/>
      <c r="EY503" s="1486"/>
      <c r="EZ503" s="1487"/>
      <c r="FA503" s="1487"/>
      <c r="FB503" s="1151"/>
      <c r="FC503" s="1151"/>
      <c r="FD503" s="1151"/>
      <c r="FE503" s="1151"/>
      <c r="FF503" s="1151"/>
      <c r="FG503" s="1151"/>
      <c r="FH503" s="1151"/>
      <c r="FI503" s="1151"/>
      <c r="FJ503" s="1151"/>
      <c r="FK503" s="1151"/>
      <c r="FL503" s="1151"/>
      <c r="FM503" s="1151"/>
      <c r="FN503" s="1151"/>
      <c r="FO503" s="1151"/>
      <c r="FP503" s="1151"/>
      <c r="FQ503" s="1151"/>
      <c r="FR503" s="1151"/>
      <c r="FS503" s="1151"/>
      <c r="FT503" s="1151"/>
      <c r="FU503" s="1151"/>
      <c r="FV503" s="1151"/>
      <c r="FW503" s="1151"/>
      <c r="FX503" s="1151"/>
      <c r="FY503" s="1488"/>
      <c r="FZ503" s="1488"/>
      <c r="GA503" s="1488"/>
      <c r="GB503" s="1485"/>
      <c r="GC503" s="1485"/>
      <c r="GD503" s="1485"/>
      <c r="GE503" s="1485"/>
      <c r="GF503" s="1485"/>
      <c r="GG503" s="1485"/>
      <c r="GH503" s="1485"/>
    </row>
    <row r="504" spans="144:190" s="1295" customFormat="1" x14ac:dyDescent="0.25">
      <c r="EN504" s="1485"/>
      <c r="EO504" s="1485"/>
      <c r="EP504" s="1485"/>
      <c r="EQ504" s="1485"/>
      <c r="ER504" s="1485"/>
      <c r="ES504" s="1485"/>
      <c r="ET504" s="1485"/>
      <c r="EU504" s="1485"/>
      <c r="EV504" s="1485"/>
      <c r="EW504" s="1485"/>
      <c r="EX504" s="1486"/>
      <c r="EY504" s="1486"/>
      <c r="EZ504" s="1487"/>
      <c r="FA504" s="1487"/>
      <c r="FB504" s="1151"/>
      <c r="FC504" s="1151"/>
      <c r="FD504" s="1151"/>
      <c r="FE504" s="1151"/>
      <c r="FF504" s="1151"/>
      <c r="FG504" s="1151"/>
      <c r="FH504" s="1151"/>
      <c r="FI504" s="1151"/>
      <c r="FJ504" s="1151"/>
      <c r="FK504" s="1151"/>
      <c r="FL504" s="1151"/>
      <c r="FM504" s="1151"/>
      <c r="FN504" s="1151"/>
      <c r="FO504" s="1151"/>
      <c r="FP504" s="1151"/>
      <c r="FQ504" s="1151"/>
      <c r="FR504" s="1151"/>
      <c r="FS504" s="1151"/>
      <c r="FT504" s="1151"/>
      <c r="FU504" s="1151"/>
      <c r="FV504" s="1151"/>
      <c r="FW504" s="1151"/>
      <c r="FX504" s="1151"/>
      <c r="FY504" s="1488"/>
      <c r="FZ504" s="1488"/>
      <c r="GA504" s="1488"/>
      <c r="GB504" s="1485"/>
      <c r="GC504" s="1485"/>
      <c r="GD504" s="1485"/>
      <c r="GE504" s="1485"/>
      <c r="GF504" s="1485"/>
      <c r="GG504" s="1485"/>
      <c r="GH504" s="1485"/>
    </row>
    <row r="505" spans="144:190" s="1295" customFormat="1" x14ac:dyDescent="0.25">
      <c r="EN505" s="1485"/>
      <c r="EO505" s="1485"/>
      <c r="EP505" s="1485"/>
      <c r="EQ505" s="1485"/>
      <c r="ER505" s="1485"/>
      <c r="ES505" s="1485"/>
      <c r="ET505" s="1485"/>
      <c r="EU505" s="1485"/>
      <c r="EV505" s="1485"/>
      <c r="EW505" s="1485"/>
      <c r="EX505" s="1486"/>
      <c r="EY505" s="1486"/>
      <c r="EZ505" s="1487"/>
      <c r="FA505" s="1487"/>
      <c r="FB505" s="1151"/>
      <c r="FC505" s="1151"/>
      <c r="FD505" s="1151"/>
      <c r="FE505" s="1151"/>
      <c r="FF505" s="1151"/>
      <c r="FG505" s="1151"/>
      <c r="FH505" s="1151"/>
      <c r="FI505" s="1151"/>
      <c r="FJ505" s="1151"/>
      <c r="FK505" s="1151"/>
      <c r="FL505" s="1151"/>
      <c r="FM505" s="1151"/>
      <c r="FN505" s="1151"/>
      <c r="FO505" s="1151"/>
      <c r="FP505" s="1151"/>
      <c r="FQ505" s="1151"/>
      <c r="FR505" s="1151"/>
      <c r="FS505" s="1151"/>
      <c r="FT505" s="1151"/>
      <c r="FU505" s="1151"/>
      <c r="FV505" s="1151"/>
      <c r="FW505" s="1151"/>
      <c r="FX505" s="1151"/>
      <c r="FY505" s="1488"/>
      <c r="FZ505" s="1488"/>
      <c r="GA505" s="1488"/>
      <c r="GB505" s="1485"/>
      <c r="GC505" s="1485"/>
      <c r="GD505" s="1485"/>
      <c r="GE505" s="1485"/>
      <c r="GF505" s="1485"/>
      <c r="GG505" s="1485"/>
      <c r="GH505" s="1485"/>
    </row>
    <row r="506" spans="144:190" s="1295" customFormat="1" x14ac:dyDescent="0.25">
      <c r="EN506" s="1485"/>
      <c r="EO506" s="1485"/>
      <c r="EP506" s="1485"/>
      <c r="EQ506" s="1485"/>
      <c r="ER506" s="1485"/>
      <c r="ES506" s="1485"/>
      <c r="ET506" s="1485"/>
      <c r="EU506" s="1485"/>
      <c r="EV506" s="1485"/>
      <c r="EW506" s="1485"/>
      <c r="EX506" s="1486"/>
      <c r="EY506" s="1486"/>
      <c r="EZ506" s="1487"/>
      <c r="FA506" s="1487"/>
      <c r="FB506" s="1151"/>
      <c r="FC506" s="1151"/>
      <c r="FD506" s="1151"/>
      <c r="FE506" s="1151"/>
      <c r="FF506" s="1151"/>
      <c r="FG506" s="1151"/>
      <c r="FH506" s="1151"/>
      <c r="FI506" s="1151"/>
      <c r="FJ506" s="1151"/>
      <c r="FK506" s="1151"/>
      <c r="FL506" s="1151"/>
      <c r="FM506" s="1151"/>
      <c r="FN506" s="1151"/>
      <c r="FO506" s="1151"/>
      <c r="FP506" s="1151"/>
      <c r="FQ506" s="1151"/>
      <c r="FR506" s="1151"/>
      <c r="FS506" s="1151"/>
      <c r="FT506" s="1151"/>
      <c r="FU506" s="1151"/>
      <c r="FV506" s="1151"/>
      <c r="FW506" s="1151"/>
      <c r="FX506" s="1151"/>
      <c r="FY506" s="1488"/>
      <c r="FZ506" s="1488"/>
      <c r="GA506" s="1488"/>
      <c r="GB506" s="1485"/>
      <c r="GC506" s="1485"/>
      <c r="GD506" s="1485"/>
      <c r="GE506" s="1485"/>
      <c r="GF506" s="1485"/>
      <c r="GG506" s="1485"/>
      <c r="GH506" s="1485"/>
    </row>
    <row r="507" spans="144:190" s="1295" customFormat="1" x14ac:dyDescent="0.25">
      <c r="EN507" s="1485"/>
      <c r="EO507" s="1485"/>
      <c r="EP507" s="1485"/>
      <c r="EQ507" s="1485"/>
      <c r="ER507" s="1485"/>
      <c r="ES507" s="1485"/>
      <c r="ET507" s="1485"/>
      <c r="EU507" s="1485"/>
      <c r="EV507" s="1485"/>
      <c r="EW507" s="1485"/>
      <c r="EX507" s="1486"/>
      <c r="EY507" s="1486"/>
      <c r="EZ507" s="1487"/>
      <c r="FA507" s="1487"/>
      <c r="FB507" s="1151"/>
      <c r="FC507" s="1151"/>
      <c r="FD507" s="1151"/>
      <c r="FE507" s="1151"/>
      <c r="FF507" s="1151"/>
      <c r="FG507" s="1151"/>
      <c r="FH507" s="1151"/>
      <c r="FI507" s="1151"/>
      <c r="FJ507" s="1151"/>
      <c r="FK507" s="1151"/>
      <c r="FL507" s="1151"/>
      <c r="FM507" s="1151"/>
      <c r="FN507" s="1151"/>
      <c r="FO507" s="1151"/>
      <c r="FP507" s="1151"/>
      <c r="FQ507" s="1151"/>
      <c r="FR507" s="1151"/>
      <c r="FS507" s="1151"/>
      <c r="FT507" s="1151"/>
      <c r="FU507" s="1151"/>
      <c r="FV507" s="1151"/>
      <c r="FW507" s="1151"/>
      <c r="FX507" s="1151"/>
      <c r="FY507" s="1488"/>
      <c r="FZ507" s="1488"/>
      <c r="GA507" s="1488"/>
      <c r="GB507" s="1485"/>
      <c r="GC507" s="1485"/>
      <c r="GD507" s="1485"/>
      <c r="GE507" s="1485"/>
      <c r="GF507" s="1485"/>
      <c r="GG507" s="1485"/>
      <c r="GH507" s="1485"/>
    </row>
    <row r="508" spans="144:190" s="1295" customFormat="1" x14ac:dyDescent="0.25">
      <c r="EN508" s="1485"/>
      <c r="EO508" s="1485"/>
      <c r="EP508" s="1485"/>
      <c r="EQ508" s="1485"/>
      <c r="ER508" s="1485"/>
      <c r="ES508" s="1485"/>
      <c r="ET508" s="1485"/>
      <c r="EU508" s="1485"/>
      <c r="EV508" s="1485"/>
      <c r="EW508" s="1485"/>
      <c r="EX508" s="1486"/>
      <c r="EY508" s="1486"/>
      <c r="EZ508" s="1487"/>
      <c r="FA508" s="1487"/>
      <c r="FB508" s="1151"/>
      <c r="FC508" s="1151"/>
      <c r="FD508" s="1151"/>
      <c r="FE508" s="1151"/>
      <c r="FF508" s="1151"/>
      <c r="FG508" s="1151"/>
      <c r="FH508" s="1151"/>
      <c r="FI508" s="1151"/>
      <c r="FJ508" s="1151"/>
      <c r="FK508" s="1151"/>
      <c r="FL508" s="1151"/>
      <c r="FM508" s="1151"/>
      <c r="FN508" s="1151"/>
      <c r="FO508" s="1151"/>
      <c r="FP508" s="1151"/>
      <c r="FQ508" s="1151"/>
      <c r="FR508" s="1151"/>
      <c r="FS508" s="1151"/>
      <c r="FT508" s="1151"/>
      <c r="FU508" s="1151"/>
      <c r="FV508" s="1151"/>
      <c r="FW508" s="1151"/>
      <c r="FX508" s="1151"/>
      <c r="FY508" s="1488"/>
      <c r="FZ508" s="1488"/>
      <c r="GA508" s="1488"/>
      <c r="GB508" s="1485"/>
      <c r="GC508" s="1485"/>
      <c r="GD508" s="1485"/>
      <c r="GE508" s="1485"/>
      <c r="GF508" s="1485"/>
      <c r="GG508" s="1485"/>
      <c r="GH508" s="1485"/>
    </row>
    <row r="509" spans="144:190" s="1295" customFormat="1" x14ac:dyDescent="0.25">
      <c r="EN509" s="1485"/>
      <c r="EO509" s="1485"/>
      <c r="EP509" s="1485"/>
      <c r="EQ509" s="1485"/>
      <c r="ER509" s="1485"/>
      <c r="ES509" s="1485"/>
      <c r="ET509" s="1485"/>
      <c r="EU509" s="1485"/>
      <c r="EV509" s="1485"/>
      <c r="EW509" s="1485"/>
      <c r="EX509" s="1486"/>
      <c r="EY509" s="1486"/>
      <c r="EZ509" s="1487"/>
      <c r="FA509" s="1487"/>
      <c r="FB509" s="1151"/>
      <c r="FC509" s="1151"/>
      <c r="FD509" s="1151"/>
      <c r="FE509" s="1151"/>
      <c r="FF509" s="1151"/>
      <c r="FG509" s="1151"/>
      <c r="FH509" s="1151"/>
      <c r="FI509" s="1151"/>
      <c r="FJ509" s="1151"/>
      <c r="FK509" s="1151"/>
      <c r="FL509" s="1151"/>
      <c r="FM509" s="1151"/>
      <c r="FN509" s="1151"/>
      <c r="FO509" s="1151"/>
      <c r="FP509" s="1151"/>
      <c r="FQ509" s="1151"/>
      <c r="FR509" s="1151"/>
      <c r="FS509" s="1151"/>
      <c r="FT509" s="1151"/>
      <c r="FU509" s="1151"/>
      <c r="FV509" s="1151"/>
      <c r="FW509" s="1151"/>
      <c r="FX509" s="1151"/>
      <c r="FY509" s="1488"/>
      <c r="FZ509" s="1488"/>
      <c r="GA509" s="1488"/>
      <c r="GB509" s="1485"/>
      <c r="GC509" s="1485"/>
      <c r="GD509" s="1485"/>
      <c r="GE509" s="1485"/>
      <c r="GF509" s="1485"/>
      <c r="GG509" s="1485"/>
      <c r="GH509" s="1485"/>
    </row>
    <row r="510" spans="144:190" s="1295" customFormat="1" x14ac:dyDescent="0.25">
      <c r="EN510" s="1485"/>
      <c r="EO510" s="1485"/>
      <c r="EP510" s="1485"/>
      <c r="EQ510" s="1485"/>
      <c r="ER510" s="1485"/>
      <c r="ES510" s="1485"/>
      <c r="ET510" s="1485"/>
      <c r="EU510" s="1485"/>
      <c r="EV510" s="1485"/>
      <c r="EW510" s="1485"/>
      <c r="EX510" s="1486"/>
      <c r="EY510" s="1486"/>
      <c r="EZ510" s="1487"/>
      <c r="FA510" s="1487"/>
      <c r="FB510" s="1151"/>
      <c r="FC510" s="1151"/>
      <c r="FD510" s="1151"/>
      <c r="FE510" s="1151"/>
      <c r="FF510" s="1151"/>
      <c r="FG510" s="1151"/>
      <c r="FH510" s="1151"/>
      <c r="FI510" s="1151"/>
      <c r="FJ510" s="1151"/>
      <c r="FK510" s="1151"/>
      <c r="FL510" s="1151"/>
      <c r="FM510" s="1151"/>
      <c r="FN510" s="1151"/>
      <c r="FO510" s="1151"/>
      <c r="FP510" s="1151"/>
      <c r="FQ510" s="1151"/>
      <c r="FR510" s="1151"/>
      <c r="FS510" s="1151"/>
      <c r="FT510" s="1151"/>
      <c r="FU510" s="1151"/>
      <c r="FV510" s="1151"/>
      <c r="FW510" s="1151"/>
      <c r="FX510" s="1151"/>
      <c r="FY510" s="1488"/>
      <c r="FZ510" s="1488"/>
      <c r="GA510" s="1488"/>
      <c r="GB510" s="1485"/>
      <c r="GC510" s="1485"/>
      <c r="GD510" s="1485"/>
      <c r="GE510" s="1485"/>
      <c r="GF510" s="1485"/>
      <c r="GG510" s="1485"/>
      <c r="GH510" s="1485"/>
    </row>
    <row r="511" spans="144:190" s="1295" customFormat="1" x14ac:dyDescent="0.25">
      <c r="EN511" s="1485"/>
      <c r="EO511" s="1485"/>
      <c r="EP511" s="1485"/>
      <c r="EQ511" s="1485"/>
      <c r="ER511" s="1485"/>
      <c r="ES511" s="1485"/>
      <c r="ET511" s="1485"/>
      <c r="EU511" s="1485"/>
      <c r="EV511" s="1485"/>
      <c r="EW511" s="1485"/>
      <c r="EX511" s="1486"/>
      <c r="EY511" s="1486"/>
      <c r="EZ511" s="1487"/>
      <c r="FA511" s="1487"/>
      <c r="FB511" s="1151"/>
      <c r="FC511" s="1151"/>
      <c r="FD511" s="1151"/>
      <c r="FE511" s="1151"/>
      <c r="FF511" s="1151"/>
      <c r="FG511" s="1151"/>
      <c r="FH511" s="1151"/>
      <c r="FI511" s="1151"/>
      <c r="FJ511" s="1151"/>
      <c r="FK511" s="1151"/>
      <c r="FL511" s="1151"/>
      <c r="FM511" s="1151"/>
      <c r="FN511" s="1151"/>
      <c r="FO511" s="1151"/>
      <c r="FP511" s="1151"/>
      <c r="FQ511" s="1151"/>
      <c r="FR511" s="1151"/>
      <c r="FS511" s="1151"/>
      <c r="FT511" s="1151"/>
      <c r="FU511" s="1151"/>
      <c r="FV511" s="1151"/>
      <c r="FW511" s="1151"/>
      <c r="FX511" s="1151"/>
      <c r="FY511" s="1488"/>
      <c r="FZ511" s="1488"/>
      <c r="GA511" s="1488"/>
      <c r="GB511" s="1485"/>
      <c r="GC511" s="1485"/>
      <c r="GD511" s="1485"/>
      <c r="GE511" s="1485"/>
      <c r="GF511" s="1485"/>
      <c r="GG511" s="1485"/>
      <c r="GH511" s="1485"/>
    </row>
    <row r="512" spans="144:190" s="1295" customFormat="1" x14ac:dyDescent="0.25">
      <c r="EN512" s="1485"/>
      <c r="EO512" s="1485"/>
      <c r="EP512" s="1485"/>
      <c r="EQ512" s="1485"/>
      <c r="ER512" s="1485"/>
      <c r="ES512" s="1485"/>
      <c r="ET512" s="1485"/>
      <c r="EU512" s="1485"/>
      <c r="EV512" s="1485"/>
      <c r="EW512" s="1485"/>
      <c r="EX512" s="1486"/>
      <c r="EY512" s="1486"/>
      <c r="EZ512" s="1487"/>
      <c r="FA512" s="1487"/>
      <c r="FB512" s="1151"/>
      <c r="FC512" s="1151"/>
      <c r="FD512" s="1151"/>
      <c r="FE512" s="1151"/>
      <c r="FF512" s="1151"/>
      <c r="FG512" s="1151"/>
      <c r="FH512" s="1151"/>
      <c r="FI512" s="1151"/>
      <c r="FJ512" s="1151"/>
      <c r="FK512" s="1151"/>
      <c r="FL512" s="1151"/>
      <c r="FM512" s="1151"/>
      <c r="FN512" s="1151"/>
      <c r="FO512" s="1151"/>
      <c r="FP512" s="1151"/>
      <c r="FQ512" s="1151"/>
      <c r="FR512" s="1151"/>
      <c r="FS512" s="1151"/>
      <c r="FT512" s="1151"/>
      <c r="FU512" s="1151"/>
      <c r="FV512" s="1151"/>
      <c r="FW512" s="1151"/>
      <c r="FX512" s="1151"/>
      <c r="FY512" s="1488"/>
      <c r="FZ512" s="1488"/>
      <c r="GA512" s="1488"/>
      <c r="GB512" s="1485"/>
      <c r="GC512" s="1485"/>
      <c r="GD512" s="1485"/>
      <c r="GE512" s="1485"/>
      <c r="GF512" s="1485"/>
      <c r="GG512" s="1485"/>
      <c r="GH512" s="1485"/>
    </row>
    <row r="513" spans="144:190" s="1295" customFormat="1" x14ac:dyDescent="0.25">
      <c r="EN513" s="1485"/>
      <c r="EO513" s="1485"/>
      <c r="EP513" s="1485"/>
      <c r="EQ513" s="1485"/>
      <c r="ER513" s="1485"/>
      <c r="ES513" s="1485"/>
      <c r="ET513" s="1485"/>
      <c r="EU513" s="1485"/>
      <c r="EV513" s="1485"/>
      <c r="EW513" s="1485"/>
      <c r="EX513" s="1486"/>
      <c r="EY513" s="1486"/>
      <c r="EZ513" s="1487"/>
      <c r="FA513" s="1487"/>
      <c r="FB513" s="1151"/>
      <c r="FC513" s="1151"/>
      <c r="FD513" s="1151"/>
      <c r="FE513" s="1151"/>
      <c r="FF513" s="1151"/>
      <c r="FG513" s="1151"/>
      <c r="FH513" s="1151"/>
      <c r="FI513" s="1151"/>
      <c r="FJ513" s="1151"/>
      <c r="FK513" s="1151"/>
      <c r="FL513" s="1151"/>
      <c r="FM513" s="1151"/>
      <c r="FN513" s="1151"/>
      <c r="FO513" s="1151"/>
      <c r="FP513" s="1151"/>
      <c r="FQ513" s="1151"/>
      <c r="FR513" s="1151"/>
      <c r="FS513" s="1151"/>
      <c r="FT513" s="1151"/>
      <c r="FU513" s="1151"/>
      <c r="FV513" s="1151"/>
      <c r="FW513" s="1151"/>
      <c r="FX513" s="1151"/>
      <c r="FY513" s="1488"/>
      <c r="FZ513" s="1488"/>
      <c r="GA513" s="1488"/>
      <c r="GB513" s="1485"/>
      <c r="GC513" s="1485"/>
      <c r="GD513" s="1485"/>
      <c r="GE513" s="1485"/>
      <c r="GF513" s="1485"/>
      <c r="GG513" s="1485"/>
      <c r="GH513" s="1485"/>
    </row>
    <row r="514" spans="144:190" s="1295" customFormat="1" x14ac:dyDescent="0.25">
      <c r="EN514" s="1485"/>
      <c r="EO514" s="1485"/>
      <c r="EP514" s="1485"/>
      <c r="EQ514" s="1485"/>
      <c r="ER514" s="1485"/>
      <c r="ES514" s="1485"/>
      <c r="ET514" s="1485"/>
      <c r="EU514" s="1485"/>
      <c r="EV514" s="1485"/>
      <c r="EW514" s="1485"/>
      <c r="EX514" s="1486"/>
      <c r="EY514" s="1486"/>
      <c r="EZ514" s="1487"/>
      <c r="FA514" s="1487"/>
      <c r="FB514" s="1151"/>
      <c r="FC514" s="1151"/>
      <c r="FD514" s="1151"/>
      <c r="FE514" s="1151"/>
      <c r="FF514" s="1151"/>
      <c r="FG514" s="1151"/>
      <c r="FH514" s="1151"/>
      <c r="FI514" s="1151"/>
      <c r="FJ514" s="1151"/>
      <c r="FK514" s="1151"/>
      <c r="FL514" s="1151"/>
      <c r="FM514" s="1151"/>
      <c r="FN514" s="1151"/>
      <c r="FO514" s="1151"/>
      <c r="FP514" s="1151"/>
      <c r="FQ514" s="1151"/>
      <c r="FR514" s="1151"/>
      <c r="FS514" s="1151"/>
      <c r="FT514" s="1151"/>
      <c r="FU514" s="1151"/>
      <c r="FV514" s="1151"/>
      <c r="FW514" s="1151"/>
      <c r="FX514" s="1151"/>
      <c r="FY514" s="1488"/>
      <c r="FZ514" s="1488"/>
      <c r="GA514" s="1488"/>
      <c r="GB514" s="1485"/>
      <c r="GC514" s="1485"/>
      <c r="GD514" s="1485"/>
      <c r="GE514" s="1485"/>
      <c r="GF514" s="1485"/>
      <c r="GG514" s="1485"/>
      <c r="GH514" s="1485"/>
    </row>
    <row r="515" spans="144:190" s="1295" customFormat="1" x14ac:dyDescent="0.25">
      <c r="EN515" s="1485"/>
      <c r="EO515" s="1485"/>
      <c r="EP515" s="1485"/>
      <c r="EQ515" s="1485"/>
      <c r="ER515" s="1485"/>
      <c r="ES515" s="1485"/>
      <c r="ET515" s="1485"/>
      <c r="EU515" s="1485"/>
      <c r="EV515" s="1485"/>
      <c r="EW515" s="1485"/>
      <c r="EX515" s="1486"/>
      <c r="EY515" s="1486"/>
      <c r="EZ515" s="1487"/>
      <c r="FA515" s="1487"/>
      <c r="FB515" s="1151"/>
      <c r="FC515" s="1151"/>
      <c r="FD515" s="1151"/>
      <c r="FE515" s="1151"/>
      <c r="FF515" s="1151"/>
      <c r="FG515" s="1151"/>
      <c r="FH515" s="1151"/>
      <c r="FI515" s="1151"/>
      <c r="FJ515" s="1151"/>
      <c r="FK515" s="1151"/>
      <c r="FL515" s="1151"/>
      <c r="FM515" s="1151"/>
      <c r="FN515" s="1151"/>
      <c r="FO515" s="1151"/>
      <c r="FP515" s="1151"/>
      <c r="FQ515" s="1151"/>
      <c r="FR515" s="1151"/>
      <c r="FS515" s="1151"/>
      <c r="FT515" s="1151"/>
      <c r="FU515" s="1151"/>
      <c r="FV515" s="1151"/>
      <c r="FW515" s="1151"/>
      <c r="FX515" s="1151"/>
      <c r="FY515" s="1488"/>
      <c r="FZ515" s="1488"/>
      <c r="GA515" s="1488"/>
      <c r="GB515" s="1485"/>
      <c r="GC515" s="1485"/>
      <c r="GD515" s="1485"/>
      <c r="GE515" s="1485"/>
      <c r="GF515" s="1485"/>
      <c r="GG515" s="1485"/>
      <c r="GH515" s="1485"/>
    </row>
    <row r="516" spans="144:190" s="1295" customFormat="1" x14ac:dyDescent="0.25">
      <c r="EN516" s="1485"/>
      <c r="EO516" s="1485"/>
      <c r="EP516" s="1485"/>
      <c r="EQ516" s="1485"/>
      <c r="ER516" s="1485"/>
      <c r="ES516" s="1485"/>
      <c r="ET516" s="1485"/>
      <c r="EU516" s="1485"/>
      <c r="EV516" s="1485"/>
      <c r="EW516" s="1485"/>
      <c r="EX516" s="1486"/>
      <c r="EY516" s="1486"/>
      <c r="EZ516" s="1487"/>
      <c r="FA516" s="1487"/>
      <c r="FB516" s="1151"/>
      <c r="FC516" s="1151"/>
      <c r="FD516" s="1151"/>
      <c r="FE516" s="1151"/>
      <c r="FF516" s="1151"/>
      <c r="FG516" s="1151"/>
      <c r="FH516" s="1151"/>
      <c r="FI516" s="1151"/>
      <c r="FJ516" s="1151"/>
      <c r="FK516" s="1151"/>
      <c r="FL516" s="1151"/>
      <c r="FM516" s="1151"/>
      <c r="FN516" s="1151"/>
      <c r="FO516" s="1151"/>
      <c r="FP516" s="1151"/>
      <c r="FQ516" s="1151"/>
      <c r="FR516" s="1151"/>
      <c r="FS516" s="1151"/>
      <c r="FT516" s="1151"/>
      <c r="FU516" s="1151"/>
      <c r="FV516" s="1151"/>
      <c r="FW516" s="1151"/>
      <c r="FX516" s="1151"/>
      <c r="FY516" s="1488"/>
      <c r="FZ516" s="1488"/>
      <c r="GA516" s="1488"/>
      <c r="GB516" s="1485"/>
      <c r="GC516" s="1485"/>
      <c r="GD516" s="1485"/>
      <c r="GE516" s="1485"/>
      <c r="GF516" s="1485"/>
      <c r="GG516" s="1485"/>
      <c r="GH516" s="1485"/>
    </row>
    <row r="517" spans="144:190" s="1295" customFormat="1" x14ac:dyDescent="0.25">
      <c r="EN517" s="1485"/>
      <c r="EO517" s="1485"/>
      <c r="EP517" s="1485"/>
      <c r="EQ517" s="1485"/>
      <c r="ER517" s="1485"/>
      <c r="ES517" s="1485"/>
      <c r="ET517" s="1485"/>
      <c r="EU517" s="1485"/>
      <c r="EV517" s="1485"/>
      <c r="EW517" s="1485"/>
      <c r="EX517" s="1486"/>
      <c r="EY517" s="1486"/>
      <c r="EZ517" s="1487"/>
      <c r="FA517" s="1487"/>
      <c r="FB517" s="1151"/>
      <c r="FC517" s="1151"/>
      <c r="FD517" s="1151"/>
      <c r="FE517" s="1151"/>
      <c r="FF517" s="1151"/>
      <c r="FG517" s="1151"/>
      <c r="FH517" s="1151"/>
      <c r="FI517" s="1151"/>
      <c r="FJ517" s="1151"/>
      <c r="FK517" s="1151"/>
      <c r="FL517" s="1151"/>
      <c r="FM517" s="1151"/>
      <c r="FN517" s="1151"/>
      <c r="FO517" s="1151"/>
      <c r="FP517" s="1151"/>
      <c r="FQ517" s="1151"/>
      <c r="FR517" s="1151"/>
      <c r="FS517" s="1151"/>
      <c r="FT517" s="1151"/>
      <c r="FU517" s="1151"/>
      <c r="FV517" s="1151"/>
      <c r="FW517" s="1151"/>
      <c r="FX517" s="1151"/>
      <c r="FY517" s="1488"/>
      <c r="FZ517" s="1488"/>
      <c r="GA517" s="1488"/>
      <c r="GB517" s="1485"/>
      <c r="GC517" s="1485"/>
      <c r="GD517" s="1485"/>
      <c r="GE517" s="1485"/>
      <c r="GF517" s="1485"/>
      <c r="GG517" s="1485"/>
      <c r="GH517" s="1485"/>
    </row>
    <row r="518" spans="144:190" s="1295" customFormat="1" x14ac:dyDescent="0.25">
      <c r="EN518" s="1485"/>
      <c r="EO518" s="1485"/>
      <c r="EP518" s="1485"/>
      <c r="EQ518" s="1485"/>
      <c r="ER518" s="1485"/>
      <c r="ES518" s="1485"/>
      <c r="ET518" s="1485"/>
      <c r="EU518" s="1485"/>
      <c r="EV518" s="1485"/>
      <c r="EW518" s="1485"/>
      <c r="EX518" s="1486"/>
      <c r="EY518" s="1486"/>
      <c r="EZ518" s="1487"/>
      <c r="FA518" s="1487"/>
      <c r="FB518" s="1151"/>
      <c r="FC518" s="1151"/>
      <c r="FD518" s="1151"/>
      <c r="FE518" s="1151"/>
      <c r="FF518" s="1151"/>
      <c r="FG518" s="1151"/>
      <c r="FH518" s="1151"/>
      <c r="FI518" s="1151"/>
      <c r="FJ518" s="1151"/>
      <c r="FK518" s="1151"/>
      <c r="FL518" s="1151"/>
      <c r="FM518" s="1151"/>
      <c r="FN518" s="1151"/>
      <c r="FO518" s="1151"/>
      <c r="FP518" s="1151"/>
      <c r="FQ518" s="1151"/>
      <c r="FR518" s="1151"/>
      <c r="FS518" s="1151"/>
      <c r="FT518" s="1151"/>
      <c r="FU518" s="1151"/>
      <c r="FV518" s="1151"/>
      <c r="FW518" s="1151"/>
      <c r="FX518" s="1151"/>
      <c r="FY518" s="1488"/>
      <c r="FZ518" s="1488"/>
      <c r="GA518" s="1488"/>
      <c r="GB518" s="1485"/>
      <c r="GC518" s="1485"/>
      <c r="GD518" s="1485"/>
      <c r="GE518" s="1485"/>
      <c r="GF518" s="1485"/>
      <c r="GG518" s="1485"/>
      <c r="GH518" s="1485"/>
    </row>
    <row r="519" spans="144:190" s="1295" customFormat="1" x14ac:dyDescent="0.25">
      <c r="EN519" s="1485"/>
      <c r="EO519" s="1485"/>
      <c r="EP519" s="1485"/>
      <c r="EQ519" s="1485"/>
      <c r="ER519" s="1485"/>
      <c r="ES519" s="1485"/>
      <c r="ET519" s="1485"/>
      <c r="EU519" s="1485"/>
      <c r="EV519" s="1485"/>
      <c r="EW519" s="1485"/>
      <c r="EX519" s="1486"/>
      <c r="EY519" s="1486"/>
      <c r="EZ519" s="1487"/>
      <c r="FA519" s="1487"/>
      <c r="FB519" s="1151"/>
      <c r="FC519" s="1151"/>
      <c r="FD519" s="1151"/>
      <c r="FE519" s="1151"/>
      <c r="FF519" s="1151"/>
      <c r="FG519" s="1151"/>
      <c r="FH519" s="1151"/>
      <c r="FI519" s="1151"/>
      <c r="FJ519" s="1151"/>
      <c r="FK519" s="1151"/>
      <c r="FL519" s="1151"/>
      <c r="FM519" s="1151"/>
      <c r="FN519" s="1151"/>
      <c r="FO519" s="1151"/>
      <c r="FP519" s="1151"/>
      <c r="FQ519" s="1151"/>
      <c r="FR519" s="1151"/>
      <c r="FS519" s="1151"/>
      <c r="FT519" s="1151"/>
      <c r="FU519" s="1151"/>
      <c r="FV519" s="1151"/>
      <c r="FW519" s="1151"/>
      <c r="FX519" s="1151"/>
      <c r="FY519" s="1488"/>
      <c r="FZ519" s="1488"/>
      <c r="GA519" s="1488"/>
      <c r="GB519" s="1485"/>
      <c r="GC519" s="1485"/>
      <c r="GD519" s="1485"/>
      <c r="GE519" s="1485"/>
      <c r="GF519" s="1485"/>
      <c r="GG519" s="1485"/>
      <c r="GH519" s="1485"/>
    </row>
    <row r="520" spans="144:190" s="1295" customFormat="1" x14ac:dyDescent="0.25">
      <c r="EN520" s="1485"/>
      <c r="EO520" s="1485"/>
      <c r="EP520" s="1485"/>
      <c r="EQ520" s="1485"/>
      <c r="ER520" s="1485"/>
      <c r="ES520" s="1485"/>
      <c r="ET520" s="1485"/>
      <c r="EU520" s="1485"/>
      <c r="EV520" s="1485"/>
      <c r="EW520" s="1485"/>
      <c r="EX520" s="1486"/>
      <c r="EY520" s="1486"/>
      <c r="EZ520" s="1487"/>
      <c r="FA520" s="1487"/>
      <c r="FB520" s="1151"/>
      <c r="FC520" s="1151"/>
      <c r="FD520" s="1151"/>
      <c r="FE520" s="1151"/>
      <c r="FF520" s="1151"/>
      <c r="FG520" s="1151"/>
      <c r="FH520" s="1151"/>
      <c r="FI520" s="1151"/>
      <c r="FJ520" s="1151"/>
      <c r="FK520" s="1151"/>
      <c r="FL520" s="1151"/>
      <c r="FM520" s="1151"/>
      <c r="FN520" s="1151"/>
      <c r="FO520" s="1151"/>
      <c r="FP520" s="1151"/>
      <c r="FQ520" s="1151"/>
      <c r="FR520" s="1151"/>
      <c r="FS520" s="1151"/>
      <c r="FT520" s="1151"/>
      <c r="FU520" s="1151"/>
      <c r="FV520" s="1151"/>
      <c r="FW520" s="1151"/>
      <c r="FX520" s="1151"/>
      <c r="FY520" s="1488"/>
      <c r="FZ520" s="1488"/>
      <c r="GA520" s="1488"/>
      <c r="GB520" s="1485"/>
      <c r="GC520" s="1485"/>
      <c r="GD520" s="1485"/>
      <c r="GE520" s="1485"/>
      <c r="GF520" s="1485"/>
      <c r="GG520" s="1485"/>
      <c r="GH520" s="1485"/>
    </row>
    <row r="521" spans="144:190" s="1295" customFormat="1" x14ac:dyDescent="0.25">
      <c r="EN521" s="1485"/>
      <c r="EO521" s="1485"/>
      <c r="EP521" s="1485"/>
      <c r="EQ521" s="1485"/>
      <c r="ER521" s="1485"/>
      <c r="ES521" s="1485"/>
      <c r="ET521" s="1485"/>
      <c r="EU521" s="1485"/>
      <c r="EV521" s="1485"/>
      <c r="EW521" s="1485"/>
      <c r="EX521" s="1486"/>
      <c r="EY521" s="1486"/>
      <c r="EZ521" s="1487"/>
      <c r="FA521" s="1487"/>
      <c r="FB521" s="1151"/>
      <c r="FC521" s="1151"/>
      <c r="FD521" s="1151"/>
      <c r="FE521" s="1151"/>
      <c r="FF521" s="1151"/>
      <c r="FG521" s="1151"/>
      <c r="FH521" s="1151"/>
      <c r="FI521" s="1151"/>
      <c r="FJ521" s="1151"/>
      <c r="FK521" s="1151"/>
      <c r="FL521" s="1151"/>
      <c r="FM521" s="1151"/>
      <c r="FN521" s="1151"/>
      <c r="FO521" s="1151"/>
      <c r="FP521" s="1151"/>
      <c r="FQ521" s="1151"/>
      <c r="FR521" s="1151"/>
      <c r="FS521" s="1151"/>
      <c r="FT521" s="1151"/>
      <c r="FU521" s="1151"/>
      <c r="FV521" s="1151"/>
      <c r="FW521" s="1151"/>
      <c r="FX521" s="1151"/>
      <c r="FY521" s="1488"/>
      <c r="FZ521" s="1488"/>
      <c r="GA521" s="1488"/>
      <c r="GB521" s="1485"/>
      <c r="GC521" s="1485"/>
      <c r="GD521" s="1485"/>
      <c r="GE521" s="1485"/>
      <c r="GF521" s="1485"/>
      <c r="GG521" s="1485"/>
      <c r="GH521" s="1485"/>
    </row>
    <row r="522" spans="144:190" s="1295" customFormat="1" x14ac:dyDescent="0.25">
      <c r="EN522" s="1485"/>
      <c r="EO522" s="1485"/>
      <c r="EP522" s="1485"/>
      <c r="EQ522" s="1485"/>
      <c r="ER522" s="1485"/>
      <c r="ES522" s="1485"/>
      <c r="ET522" s="1485"/>
      <c r="EU522" s="1485"/>
      <c r="EV522" s="1485"/>
      <c r="EW522" s="1485"/>
      <c r="EX522" s="1486"/>
      <c r="EY522" s="1486"/>
      <c r="EZ522" s="1487"/>
      <c r="FA522" s="1487"/>
      <c r="FB522" s="1151"/>
      <c r="FC522" s="1151"/>
      <c r="FD522" s="1151"/>
      <c r="FE522" s="1151"/>
      <c r="FF522" s="1151"/>
      <c r="FG522" s="1151"/>
      <c r="FH522" s="1151"/>
      <c r="FI522" s="1151"/>
      <c r="FJ522" s="1151"/>
      <c r="FK522" s="1151"/>
      <c r="FL522" s="1151"/>
      <c r="FM522" s="1151"/>
      <c r="FN522" s="1151"/>
      <c r="FO522" s="1151"/>
      <c r="FP522" s="1151"/>
      <c r="FQ522" s="1151"/>
      <c r="FR522" s="1151"/>
      <c r="FS522" s="1151"/>
      <c r="FT522" s="1151"/>
      <c r="FU522" s="1151"/>
      <c r="FV522" s="1151"/>
      <c r="FW522" s="1151"/>
      <c r="FX522" s="1151"/>
      <c r="FY522" s="1488"/>
      <c r="FZ522" s="1488"/>
      <c r="GA522" s="1488"/>
      <c r="GB522" s="1485"/>
      <c r="GC522" s="1485"/>
      <c r="GD522" s="1485"/>
      <c r="GE522" s="1485"/>
      <c r="GF522" s="1485"/>
      <c r="GG522" s="1485"/>
      <c r="GH522" s="1485"/>
    </row>
    <row r="523" spans="144:190" s="1295" customFormat="1" x14ac:dyDescent="0.25">
      <c r="EN523" s="1485"/>
      <c r="EO523" s="1485"/>
      <c r="EP523" s="1485"/>
      <c r="EQ523" s="1485"/>
      <c r="ER523" s="1485"/>
      <c r="ES523" s="1485"/>
      <c r="ET523" s="1485"/>
      <c r="EU523" s="1485"/>
      <c r="EV523" s="1485"/>
      <c r="EW523" s="1485"/>
      <c r="EX523" s="1486"/>
      <c r="EY523" s="1486"/>
      <c r="EZ523" s="1487"/>
      <c r="FA523" s="1487"/>
      <c r="FB523" s="1151"/>
      <c r="FC523" s="1151"/>
      <c r="FD523" s="1151"/>
      <c r="FE523" s="1151"/>
      <c r="FF523" s="1151"/>
      <c r="FG523" s="1151"/>
      <c r="FH523" s="1151"/>
      <c r="FI523" s="1151"/>
      <c r="FJ523" s="1151"/>
      <c r="FK523" s="1151"/>
      <c r="FL523" s="1151"/>
      <c r="FM523" s="1151"/>
      <c r="FN523" s="1151"/>
      <c r="FO523" s="1151"/>
      <c r="FP523" s="1151"/>
      <c r="FQ523" s="1151"/>
      <c r="FR523" s="1151"/>
      <c r="FS523" s="1151"/>
      <c r="FT523" s="1151"/>
      <c r="FU523" s="1151"/>
      <c r="FV523" s="1151"/>
      <c r="FW523" s="1151"/>
      <c r="FX523" s="1151"/>
      <c r="FY523" s="1488"/>
      <c r="FZ523" s="1488"/>
      <c r="GA523" s="1488"/>
      <c r="GB523" s="1485"/>
      <c r="GC523" s="1485"/>
      <c r="GD523" s="1485"/>
      <c r="GE523" s="1485"/>
      <c r="GF523" s="1485"/>
      <c r="GG523" s="1485"/>
      <c r="GH523" s="1485"/>
    </row>
    <row r="524" spans="144:190" s="1295" customFormat="1" x14ac:dyDescent="0.25">
      <c r="EN524" s="1485"/>
      <c r="EO524" s="1485"/>
      <c r="EP524" s="1485"/>
      <c r="EQ524" s="1485"/>
      <c r="ER524" s="1485"/>
      <c r="ES524" s="1485"/>
      <c r="ET524" s="1485"/>
      <c r="EU524" s="1485"/>
      <c r="EV524" s="1485"/>
      <c r="EW524" s="1485"/>
      <c r="EX524" s="1486"/>
      <c r="EY524" s="1486"/>
      <c r="EZ524" s="1487"/>
      <c r="FA524" s="1487"/>
      <c r="FB524" s="1151"/>
      <c r="FC524" s="1151"/>
      <c r="FD524" s="1151"/>
      <c r="FE524" s="1151"/>
      <c r="FF524" s="1151"/>
      <c r="FG524" s="1151"/>
      <c r="FH524" s="1151"/>
      <c r="FI524" s="1151"/>
      <c r="FJ524" s="1151"/>
      <c r="FK524" s="1151"/>
      <c r="FL524" s="1151"/>
      <c r="FM524" s="1151"/>
      <c r="FN524" s="1151"/>
      <c r="FO524" s="1151"/>
      <c r="FP524" s="1151"/>
      <c r="FQ524" s="1151"/>
      <c r="FR524" s="1151"/>
      <c r="FS524" s="1151"/>
      <c r="FT524" s="1151"/>
      <c r="FU524" s="1151"/>
      <c r="FV524" s="1151"/>
      <c r="FW524" s="1151"/>
      <c r="FX524" s="1151"/>
      <c r="FY524" s="1488"/>
      <c r="FZ524" s="1488"/>
      <c r="GA524" s="1488"/>
      <c r="GB524" s="1485"/>
      <c r="GC524" s="1485"/>
      <c r="GD524" s="1485"/>
      <c r="GE524" s="1485"/>
      <c r="GF524" s="1485"/>
      <c r="GG524" s="1485"/>
      <c r="GH524" s="1485"/>
    </row>
    <row r="525" spans="144:190" s="1295" customFormat="1" x14ac:dyDescent="0.25">
      <c r="EN525" s="1485"/>
      <c r="EO525" s="1485"/>
      <c r="EP525" s="1485"/>
      <c r="EQ525" s="1485"/>
      <c r="ER525" s="1485"/>
      <c r="ES525" s="1485"/>
      <c r="ET525" s="1485"/>
      <c r="EU525" s="1485"/>
      <c r="EV525" s="1485"/>
      <c r="EW525" s="1485"/>
      <c r="EX525" s="1486"/>
      <c r="EY525" s="1486"/>
      <c r="EZ525" s="1487"/>
      <c r="FA525" s="1487"/>
      <c r="FB525" s="1151"/>
      <c r="FC525" s="1151"/>
      <c r="FD525" s="1151"/>
      <c r="FE525" s="1151"/>
      <c r="FF525" s="1151"/>
      <c r="FG525" s="1151"/>
      <c r="FH525" s="1151"/>
      <c r="FI525" s="1151"/>
      <c r="FJ525" s="1151"/>
      <c r="FK525" s="1151"/>
      <c r="FL525" s="1151"/>
      <c r="FM525" s="1151"/>
      <c r="FN525" s="1151"/>
      <c r="FO525" s="1151"/>
      <c r="FP525" s="1151"/>
      <c r="FQ525" s="1151"/>
      <c r="FR525" s="1151"/>
      <c r="FS525" s="1151"/>
      <c r="FT525" s="1151"/>
      <c r="FU525" s="1151"/>
      <c r="FV525" s="1151"/>
      <c r="FW525" s="1151"/>
      <c r="FX525" s="1151"/>
      <c r="FY525" s="1488"/>
      <c r="FZ525" s="1488"/>
      <c r="GA525" s="1488"/>
      <c r="GB525" s="1485"/>
      <c r="GC525" s="1485"/>
      <c r="GD525" s="1485"/>
      <c r="GE525" s="1485"/>
      <c r="GF525" s="1485"/>
      <c r="GG525" s="1485"/>
      <c r="GH525" s="1485"/>
    </row>
    <row r="526" spans="144:190" s="1295" customFormat="1" x14ac:dyDescent="0.25">
      <c r="EN526" s="1485"/>
      <c r="EO526" s="1485"/>
      <c r="EP526" s="1485"/>
      <c r="EQ526" s="1485"/>
      <c r="ER526" s="1485"/>
      <c r="ES526" s="1485"/>
      <c r="ET526" s="1485"/>
      <c r="EU526" s="1485"/>
      <c r="EV526" s="1485"/>
      <c r="EW526" s="1485"/>
      <c r="EX526" s="1486"/>
      <c r="EY526" s="1486"/>
      <c r="EZ526" s="1487"/>
      <c r="FA526" s="1487"/>
      <c r="FB526" s="1151"/>
      <c r="FC526" s="1151"/>
      <c r="FD526" s="1151"/>
      <c r="FE526" s="1151"/>
      <c r="FF526" s="1151"/>
      <c r="FG526" s="1151"/>
      <c r="FH526" s="1151"/>
      <c r="FI526" s="1151"/>
      <c r="FJ526" s="1151"/>
      <c r="FK526" s="1151"/>
      <c r="FL526" s="1151"/>
      <c r="FM526" s="1151"/>
      <c r="FN526" s="1151"/>
      <c r="FO526" s="1151"/>
      <c r="FP526" s="1151"/>
      <c r="FQ526" s="1151"/>
      <c r="FR526" s="1151"/>
      <c r="FS526" s="1151"/>
      <c r="FT526" s="1151"/>
      <c r="FU526" s="1151"/>
      <c r="FV526" s="1151"/>
      <c r="FW526" s="1151"/>
      <c r="FX526" s="1151"/>
      <c r="FY526" s="1488"/>
      <c r="FZ526" s="1488"/>
      <c r="GA526" s="1488"/>
      <c r="GB526" s="1485"/>
      <c r="GC526" s="1485"/>
      <c r="GD526" s="1485"/>
      <c r="GE526" s="1485"/>
      <c r="GF526" s="1485"/>
      <c r="GG526" s="1485"/>
      <c r="GH526" s="1485"/>
    </row>
    <row r="527" spans="144:190" s="1295" customFormat="1" x14ac:dyDescent="0.25">
      <c r="EN527" s="1485"/>
      <c r="EO527" s="1485"/>
      <c r="EP527" s="1485"/>
      <c r="EQ527" s="1485"/>
      <c r="ER527" s="1485"/>
      <c r="ES527" s="1485"/>
      <c r="ET527" s="1485"/>
      <c r="EU527" s="1485"/>
      <c r="EV527" s="1485"/>
      <c r="EW527" s="1485"/>
      <c r="EX527" s="1486"/>
      <c r="EY527" s="1486"/>
      <c r="EZ527" s="1487"/>
      <c r="FA527" s="1487"/>
      <c r="FB527" s="1151"/>
      <c r="FC527" s="1151"/>
      <c r="FD527" s="1151"/>
      <c r="FE527" s="1151"/>
      <c r="FF527" s="1151"/>
      <c r="FG527" s="1151"/>
      <c r="FH527" s="1151"/>
      <c r="FI527" s="1151"/>
      <c r="FJ527" s="1151"/>
      <c r="FK527" s="1151"/>
      <c r="FL527" s="1151"/>
      <c r="FM527" s="1151"/>
      <c r="FN527" s="1151"/>
      <c r="FO527" s="1151"/>
      <c r="FP527" s="1151"/>
      <c r="FQ527" s="1151"/>
      <c r="FR527" s="1151"/>
      <c r="FS527" s="1151"/>
      <c r="FT527" s="1151"/>
      <c r="FU527" s="1151"/>
      <c r="FV527" s="1151"/>
      <c r="FW527" s="1151"/>
      <c r="FX527" s="1151"/>
      <c r="FY527" s="1488"/>
      <c r="FZ527" s="1488"/>
      <c r="GA527" s="1488"/>
      <c r="GB527" s="1485"/>
      <c r="GC527" s="1485"/>
      <c r="GD527" s="1485"/>
      <c r="GE527" s="1485"/>
      <c r="GF527" s="1485"/>
      <c r="GG527" s="1485"/>
      <c r="GH527" s="1485"/>
    </row>
    <row r="528" spans="144:190" s="1295" customFormat="1" x14ac:dyDescent="0.25">
      <c r="EN528" s="1485"/>
      <c r="EO528" s="1485"/>
      <c r="EP528" s="1485"/>
      <c r="EQ528" s="1485"/>
      <c r="ER528" s="1485"/>
      <c r="ES528" s="1485"/>
      <c r="ET528" s="1485"/>
      <c r="EU528" s="1485"/>
      <c r="EV528" s="1485"/>
      <c r="EW528" s="1485"/>
      <c r="EX528" s="1486"/>
      <c r="EY528" s="1486"/>
      <c r="EZ528" s="1487"/>
      <c r="FA528" s="1487"/>
      <c r="FB528" s="1151"/>
      <c r="FC528" s="1151"/>
      <c r="FD528" s="1151"/>
      <c r="FE528" s="1151"/>
      <c r="FF528" s="1151"/>
      <c r="FG528" s="1151"/>
      <c r="FH528" s="1151"/>
      <c r="FI528" s="1151"/>
      <c r="FJ528" s="1151"/>
      <c r="FK528" s="1151"/>
      <c r="FL528" s="1151"/>
      <c r="FM528" s="1151"/>
      <c r="FN528" s="1151"/>
      <c r="FO528" s="1151"/>
      <c r="FP528" s="1151"/>
      <c r="FQ528" s="1151"/>
      <c r="FR528" s="1151"/>
      <c r="FS528" s="1151"/>
      <c r="FT528" s="1151"/>
      <c r="FU528" s="1151"/>
      <c r="FV528" s="1151"/>
      <c r="FW528" s="1151"/>
      <c r="FX528" s="1151"/>
      <c r="FY528" s="1488"/>
      <c r="FZ528" s="1488"/>
      <c r="GA528" s="1488"/>
      <c r="GB528" s="1485"/>
      <c r="GC528" s="1485"/>
      <c r="GD528" s="1485"/>
      <c r="GE528" s="1485"/>
      <c r="GF528" s="1485"/>
      <c r="GG528" s="1485"/>
      <c r="GH528" s="1485"/>
    </row>
    <row r="529" spans="144:190" s="1295" customFormat="1" x14ac:dyDescent="0.25">
      <c r="EN529" s="1485"/>
      <c r="EO529" s="1485"/>
      <c r="EP529" s="1485"/>
      <c r="EQ529" s="1485"/>
      <c r="ER529" s="1485"/>
      <c r="ES529" s="1485"/>
      <c r="ET529" s="1485"/>
      <c r="EU529" s="1485"/>
      <c r="EV529" s="1485"/>
      <c r="EW529" s="1485"/>
      <c r="EX529" s="1486"/>
      <c r="EY529" s="1486"/>
      <c r="EZ529" s="1487"/>
      <c r="FA529" s="1487"/>
      <c r="FB529" s="1151"/>
      <c r="FC529" s="1151"/>
      <c r="FD529" s="1151"/>
      <c r="FE529" s="1151"/>
      <c r="FF529" s="1151"/>
      <c r="FG529" s="1151"/>
      <c r="FH529" s="1151"/>
      <c r="FI529" s="1151"/>
      <c r="FJ529" s="1151"/>
      <c r="FK529" s="1151"/>
      <c r="FL529" s="1151"/>
      <c r="FM529" s="1151"/>
      <c r="FN529" s="1151"/>
      <c r="FO529" s="1151"/>
      <c r="FP529" s="1151"/>
      <c r="FQ529" s="1151"/>
      <c r="FR529" s="1151"/>
      <c r="FS529" s="1151"/>
      <c r="FT529" s="1151"/>
      <c r="FU529" s="1151"/>
      <c r="FV529" s="1151"/>
      <c r="FW529" s="1151"/>
      <c r="FX529" s="1151"/>
      <c r="FY529" s="1488"/>
      <c r="FZ529" s="1488"/>
      <c r="GA529" s="1488"/>
      <c r="GB529" s="1485"/>
      <c r="GC529" s="1485"/>
      <c r="GD529" s="1485"/>
      <c r="GE529" s="1485"/>
      <c r="GF529" s="1485"/>
      <c r="GG529" s="1485"/>
      <c r="GH529" s="1485"/>
    </row>
    <row r="530" spans="144:190" s="1295" customFormat="1" x14ac:dyDescent="0.25">
      <c r="EN530" s="1485"/>
      <c r="EO530" s="1485"/>
      <c r="EP530" s="1485"/>
      <c r="EQ530" s="1485"/>
      <c r="ER530" s="1485"/>
      <c r="ES530" s="1485"/>
      <c r="ET530" s="1485"/>
      <c r="EU530" s="1485"/>
      <c r="EV530" s="1485"/>
      <c r="EW530" s="1485"/>
      <c r="EX530" s="1486"/>
      <c r="EY530" s="1486"/>
      <c r="EZ530" s="1487"/>
      <c r="FA530" s="1487"/>
      <c r="FB530" s="1151"/>
      <c r="FC530" s="1151"/>
      <c r="FD530" s="1151"/>
      <c r="FE530" s="1151"/>
      <c r="FF530" s="1151"/>
      <c r="FG530" s="1151"/>
      <c r="FH530" s="1151"/>
      <c r="FI530" s="1151"/>
      <c r="FJ530" s="1151"/>
      <c r="FK530" s="1151"/>
      <c r="FL530" s="1151"/>
      <c r="FM530" s="1151"/>
      <c r="FN530" s="1151"/>
      <c r="FO530" s="1151"/>
      <c r="FP530" s="1151"/>
      <c r="FQ530" s="1151"/>
      <c r="FR530" s="1151"/>
      <c r="FS530" s="1151"/>
      <c r="FT530" s="1151"/>
      <c r="FU530" s="1151"/>
      <c r="FV530" s="1151"/>
      <c r="FW530" s="1151"/>
      <c r="FX530" s="1151"/>
      <c r="FY530" s="1488"/>
      <c r="FZ530" s="1488"/>
      <c r="GA530" s="1488"/>
      <c r="GB530" s="1485"/>
      <c r="GC530" s="1485"/>
      <c r="GD530" s="1485"/>
      <c r="GE530" s="1485"/>
      <c r="GF530" s="1485"/>
      <c r="GG530" s="1485"/>
      <c r="GH530" s="1485"/>
    </row>
    <row r="531" spans="144:190" s="1295" customFormat="1" x14ac:dyDescent="0.25">
      <c r="EN531" s="1485"/>
      <c r="EO531" s="1485"/>
      <c r="EP531" s="1485"/>
      <c r="EQ531" s="1485"/>
      <c r="ER531" s="1485"/>
      <c r="ES531" s="1485"/>
      <c r="ET531" s="1485"/>
      <c r="EU531" s="1485"/>
      <c r="EV531" s="1485"/>
      <c r="EW531" s="1485"/>
      <c r="EX531" s="1486"/>
      <c r="EY531" s="1486"/>
      <c r="EZ531" s="1487"/>
      <c r="FA531" s="1487"/>
      <c r="FB531" s="1151"/>
      <c r="FC531" s="1151"/>
      <c r="FD531" s="1151"/>
      <c r="FE531" s="1151"/>
      <c r="FF531" s="1151"/>
      <c r="FG531" s="1151"/>
      <c r="FH531" s="1151"/>
      <c r="FI531" s="1151"/>
      <c r="FJ531" s="1151"/>
      <c r="FK531" s="1151"/>
      <c r="FL531" s="1151"/>
      <c r="FM531" s="1151"/>
      <c r="FN531" s="1151"/>
      <c r="FO531" s="1151"/>
      <c r="FP531" s="1151"/>
      <c r="FQ531" s="1151"/>
      <c r="FR531" s="1151"/>
      <c r="FS531" s="1151"/>
      <c r="FT531" s="1151"/>
      <c r="FU531" s="1151"/>
      <c r="FV531" s="1151"/>
      <c r="FW531" s="1151"/>
      <c r="FX531" s="1151"/>
      <c r="FY531" s="1488"/>
      <c r="FZ531" s="1488"/>
      <c r="GA531" s="1488"/>
      <c r="GB531" s="1485"/>
      <c r="GC531" s="1485"/>
      <c r="GD531" s="1485"/>
      <c r="GE531" s="1485"/>
      <c r="GF531" s="1485"/>
      <c r="GG531" s="1485"/>
      <c r="GH531" s="1485"/>
    </row>
    <row r="532" spans="144:190" s="1295" customFormat="1" x14ac:dyDescent="0.25">
      <c r="EN532" s="1485"/>
      <c r="EO532" s="1485"/>
      <c r="EP532" s="1485"/>
      <c r="EQ532" s="1485"/>
      <c r="ER532" s="1485"/>
      <c r="ES532" s="1485"/>
      <c r="ET532" s="1485"/>
      <c r="EU532" s="1485"/>
      <c r="EV532" s="1485"/>
      <c r="EW532" s="1485"/>
      <c r="EX532" s="1486"/>
      <c r="EY532" s="1486"/>
      <c r="EZ532" s="1487"/>
      <c r="FA532" s="1487"/>
      <c r="FB532" s="1151"/>
      <c r="FC532" s="1151"/>
      <c r="FD532" s="1151"/>
      <c r="FE532" s="1151"/>
      <c r="FF532" s="1151"/>
      <c r="FG532" s="1151"/>
      <c r="FH532" s="1151"/>
      <c r="FI532" s="1151"/>
      <c r="FJ532" s="1151"/>
      <c r="FK532" s="1151"/>
      <c r="FL532" s="1151"/>
      <c r="FM532" s="1151"/>
      <c r="FN532" s="1151"/>
      <c r="FO532" s="1151"/>
      <c r="FP532" s="1151"/>
      <c r="FQ532" s="1151"/>
      <c r="FR532" s="1151"/>
      <c r="FS532" s="1151"/>
      <c r="FT532" s="1151"/>
      <c r="FU532" s="1151"/>
      <c r="FV532" s="1151"/>
      <c r="FW532" s="1151"/>
      <c r="FX532" s="1151"/>
      <c r="FY532" s="1488"/>
      <c r="FZ532" s="1488"/>
      <c r="GA532" s="1488"/>
      <c r="GB532" s="1485"/>
      <c r="GC532" s="1485"/>
      <c r="GD532" s="1485"/>
      <c r="GE532" s="1485"/>
      <c r="GF532" s="1485"/>
      <c r="GG532" s="1485"/>
      <c r="GH532" s="1485"/>
    </row>
    <row r="533" spans="144:190" s="1295" customFormat="1" x14ac:dyDescent="0.25">
      <c r="EN533" s="1485"/>
      <c r="EO533" s="1485"/>
      <c r="EP533" s="1485"/>
      <c r="EQ533" s="1485"/>
      <c r="ER533" s="1485"/>
      <c r="ES533" s="1485"/>
      <c r="ET533" s="1485"/>
      <c r="EU533" s="1485"/>
      <c r="EV533" s="1485"/>
      <c r="EW533" s="1485"/>
      <c r="EX533" s="1486"/>
      <c r="EY533" s="1486"/>
      <c r="EZ533" s="1487"/>
      <c r="FA533" s="1487"/>
      <c r="FB533" s="1151"/>
      <c r="FC533" s="1151"/>
      <c r="FD533" s="1151"/>
      <c r="FE533" s="1151"/>
      <c r="FF533" s="1151"/>
      <c r="FG533" s="1151"/>
      <c r="FH533" s="1151"/>
      <c r="FI533" s="1151"/>
      <c r="FJ533" s="1151"/>
      <c r="FK533" s="1151"/>
      <c r="FL533" s="1151"/>
      <c r="FM533" s="1151"/>
      <c r="FN533" s="1151"/>
      <c r="FO533" s="1151"/>
      <c r="FP533" s="1151"/>
      <c r="FQ533" s="1151"/>
      <c r="FR533" s="1151"/>
      <c r="FS533" s="1151"/>
      <c r="FT533" s="1151"/>
      <c r="FU533" s="1151"/>
      <c r="FV533" s="1151"/>
      <c r="FW533" s="1151"/>
      <c r="FX533" s="1151"/>
      <c r="FY533" s="1488"/>
      <c r="FZ533" s="1488"/>
      <c r="GA533" s="1488"/>
      <c r="GB533" s="1485"/>
      <c r="GC533" s="1485"/>
      <c r="GD533" s="1485"/>
      <c r="GE533" s="1485"/>
      <c r="GF533" s="1485"/>
      <c r="GG533" s="1485"/>
      <c r="GH533" s="1485"/>
    </row>
    <row r="534" spans="144:190" s="1295" customFormat="1" x14ac:dyDescent="0.25">
      <c r="EN534" s="1485"/>
      <c r="EO534" s="1485"/>
      <c r="EP534" s="1485"/>
      <c r="EQ534" s="1485"/>
      <c r="ER534" s="1485"/>
      <c r="ES534" s="1485"/>
      <c r="ET534" s="1485"/>
      <c r="EU534" s="1485"/>
      <c r="EV534" s="1485"/>
      <c r="EW534" s="1485"/>
      <c r="EX534" s="1486"/>
      <c r="EY534" s="1486"/>
      <c r="EZ534" s="1487"/>
      <c r="FA534" s="1487"/>
      <c r="FB534" s="1151"/>
      <c r="FC534" s="1151"/>
      <c r="FD534" s="1151"/>
      <c r="FE534" s="1151"/>
      <c r="FF534" s="1151"/>
      <c r="FG534" s="1151"/>
      <c r="FH534" s="1151"/>
      <c r="FI534" s="1151"/>
      <c r="FJ534" s="1151"/>
      <c r="FK534" s="1151"/>
      <c r="FL534" s="1151"/>
      <c r="FM534" s="1151"/>
      <c r="FN534" s="1151"/>
      <c r="FO534" s="1151"/>
      <c r="FP534" s="1151"/>
      <c r="FQ534" s="1151"/>
      <c r="FR534" s="1151"/>
      <c r="FS534" s="1151"/>
      <c r="FT534" s="1151"/>
      <c r="FU534" s="1151"/>
      <c r="FV534" s="1151"/>
      <c r="FW534" s="1151"/>
      <c r="FX534" s="1151"/>
      <c r="FY534" s="1488"/>
      <c r="FZ534" s="1488"/>
      <c r="GA534" s="1488"/>
      <c r="GB534" s="1485"/>
      <c r="GC534" s="1485"/>
      <c r="GD534" s="1485"/>
      <c r="GE534" s="1485"/>
      <c r="GF534" s="1485"/>
      <c r="GG534" s="1485"/>
      <c r="GH534" s="1485"/>
    </row>
    <row r="535" spans="144:190" s="1295" customFormat="1" x14ac:dyDescent="0.25">
      <c r="EN535" s="1485"/>
      <c r="EO535" s="1485"/>
      <c r="EP535" s="1485"/>
      <c r="EQ535" s="1485"/>
      <c r="ER535" s="1485"/>
      <c r="ES535" s="1485"/>
      <c r="ET535" s="1485"/>
      <c r="EU535" s="1485"/>
      <c r="EV535" s="1485"/>
      <c r="EW535" s="1485"/>
      <c r="EX535" s="1486"/>
      <c r="EY535" s="1486"/>
      <c r="EZ535" s="1487"/>
      <c r="FA535" s="1487"/>
      <c r="FB535" s="1151"/>
      <c r="FC535" s="1151"/>
      <c r="FD535" s="1151"/>
      <c r="FE535" s="1151"/>
      <c r="FF535" s="1151"/>
      <c r="FG535" s="1151"/>
      <c r="FH535" s="1151"/>
      <c r="FI535" s="1151"/>
      <c r="FJ535" s="1151"/>
      <c r="FK535" s="1151"/>
      <c r="FL535" s="1151"/>
      <c r="FM535" s="1151"/>
      <c r="FN535" s="1151"/>
      <c r="FO535" s="1151"/>
      <c r="FP535" s="1151"/>
      <c r="FQ535" s="1151"/>
      <c r="FR535" s="1151"/>
      <c r="FS535" s="1151"/>
      <c r="FT535" s="1151"/>
      <c r="FU535" s="1151"/>
      <c r="FV535" s="1151"/>
      <c r="FW535" s="1151"/>
      <c r="FX535" s="1151"/>
      <c r="FY535" s="1488"/>
      <c r="FZ535" s="1488"/>
      <c r="GA535" s="1488"/>
      <c r="GB535" s="1485"/>
      <c r="GC535" s="1485"/>
      <c r="GD535" s="1485"/>
      <c r="GE535" s="1485"/>
      <c r="GF535" s="1485"/>
      <c r="GG535" s="1485"/>
      <c r="GH535" s="1485"/>
    </row>
    <row r="536" spans="144:190" s="1295" customFormat="1" x14ac:dyDescent="0.25">
      <c r="EN536" s="1485"/>
      <c r="EO536" s="1485"/>
      <c r="EP536" s="1485"/>
      <c r="EQ536" s="1485"/>
      <c r="ER536" s="1485"/>
      <c r="ES536" s="1485"/>
      <c r="ET536" s="1485"/>
      <c r="EU536" s="1485"/>
      <c r="EV536" s="1485"/>
      <c r="EW536" s="1485"/>
      <c r="EX536" s="1486"/>
      <c r="EY536" s="1486"/>
      <c r="EZ536" s="1487"/>
      <c r="FA536" s="1487"/>
      <c r="FB536" s="1151"/>
      <c r="FC536" s="1151"/>
      <c r="FD536" s="1151"/>
      <c r="FE536" s="1151"/>
      <c r="FF536" s="1151"/>
      <c r="FG536" s="1151"/>
      <c r="FH536" s="1151"/>
      <c r="FI536" s="1151"/>
      <c r="FJ536" s="1151"/>
      <c r="FK536" s="1151"/>
      <c r="FL536" s="1151"/>
      <c r="FM536" s="1151"/>
      <c r="FN536" s="1151"/>
      <c r="FO536" s="1151"/>
      <c r="FP536" s="1151"/>
      <c r="FQ536" s="1151"/>
      <c r="FR536" s="1151"/>
      <c r="FS536" s="1151"/>
      <c r="FT536" s="1151"/>
      <c r="FU536" s="1151"/>
      <c r="FV536" s="1151"/>
      <c r="FW536" s="1151"/>
      <c r="FX536" s="1151"/>
      <c r="FY536" s="1488"/>
      <c r="FZ536" s="1488"/>
      <c r="GA536" s="1488"/>
      <c r="GB536" s="1485"/>
      <c r="GC536" s="1485"/>
      <c r="GD536" s="1485"/>
      <c r="GE536" s="1485"/>
      <c r="GF536" s="1485"/>
      <c r="GG536" s="1485"/>
      <c r="GH536" s="1485"/>
    </row>
    <row r="537" spans="144:190" s="1295" customFormat="1" x14ac:dyDescent="0.25">
      <c r="EN537" s="1485"/>
      <c r="EO537" s="1485"/>
      <c r="EP537" s="1485"/>
      <c r="EQ537" s="1485"/>
      <c r="ER537" s="1485"/>
      <c r="ES537" s="1485"/>
      <c r="ET537" s="1485"/>
      <c r="EU537" s="1485"/>
      <c r="EV537" s="1485"/>
      <c r="EW537" s="1485"/>
      <c r="EX537" s="1486"/>
      <c r="EY537" s="1486"/>
      <c r="EZ537" s="1487"/>
      <c r="FA537" s="1487"/>
      <c r="FB537" s="1151"/>
      <c r="FC537" s="1151"/>
      <c r="FD537" s="1151"/>
      <c r="FE537" s="1151"/>
      <c r="FF537" s="1151"/>
      <c r="FG537" s="1151"/>
      <c r="FH537" s="1151"/>
      <c r="FI537" s="1151"/>
      <c r="FJ537" s="1151"/>
      <c r="FK537" s="1151"/>
      <c r="FL537" s="1151"/>
      <c r="FM537" s="1151"/>
      <c r="FN537" s="1151"/>
      <c r="FO537" s="1151"/>
      <c r="FP537" s="1151"/>
      <c r="FQ537" s="1151"/>
      <c r="FR537" s="1151"/>
      <c r="FS537" s="1151"/>
      <c r="FT537" s="1151"/>
      <c r="FU537" s="1151"/>
      <c r="FV537" s="1151"/>
      <c r="FW537" s="1151"/>
      <c r="FX537" s="1151"/>
      <c r="FY537" s="1488"/>
      <c r="FZ537" s="1488"/>
      <c r="GA537" s="1488"/>
      <c r="GB537" s="1485"/>
      <c r="GC537" s="1485"/>
      <c r="GD537" s="1485"/>
      <c r="GE537" s="1485"/>
      <c r="GF537" s="1485"/>
      <c r="GG537" s="1485"/>
      <c r="GH537" s="1485"/>
    </row>
    <row r="538" spans="144:190" s="1295" customFormat="1" x14ac:dyDescent="0.25">
      <c r="EN538" s="1485"/>
      <c r="EO538" s="1485"/>
      <c r="EP538" s="1485"/>
      <c r="EQ538" s="1485"/>
      <c r="ER538" s="1485"/>
      <c r="ES538" s="1485"/>
      <c r="ET538" s="1485"/>
      <c r="EU538" s="1485"/>
      <c r="EV538" s="1485"/>
      <c r="EW538" s="1485"/>
      <c r="EX538" s="1486"/>
      <c r="EY538" s="1486"/>
      <c r="EZ538" s="1487"/>
      <c r="FA538" s="1487"/>
      <c r="FB538" s="1151"/>
      <c r="FC538" s="1151"/>
      <c r="FD538" s="1151"/>
      <c r="FE538" s="1151"/>
      <c r="FF538" s="1151"/>
      <c r="FG538" s="1151"/>
      <c r="FH538" s="1151"/>
      <c r="FI538" s="1151"/>
      <c r="FJ538" s="1151"/>
      <c r="FK538" s="1151"/>
      <c r="FL538" s="1151"/>
      <c r="FM538" s="1151"/>
      <c r="FN538" s="1151"/>
      <c r="FO538" s="1151"/>
      <c r="FP538" s="1151"/>
      <c r="FQ538" s="1151"/>
      <c r="FR538" s="1151"/>
      <c r="FS538" s="1151"/>
      <c r="FT538" s="1151"/>
      <c r="FU538" s="1151"/>
      <c r="FV538" s="1151"/>
      <c r="FW538" s="1151"/>
      <c r="FX538" s="1151"/>
      <c r="FY538" s="1488"/>
      <c r="FZ538" s="1488"/>
      <c r="GA538" s="1488"/>
      <c r="GB538" s="1485"/>
      <c r="GC538" s="1485"/>
      <c r="GD538" s="1485"/>
      <c r="GE538" s="1485"/>
      <c r="GF538" s="1485"/>
      <c r="GG538" s="1485"/>
      <c r="GH538" s="1485"/>
    </row>
    <row r="539" spans="144:190" s="1295" customFormat="1" x14ac:dyDescent="0.25">
      <c r="EN539" s="1485"/>
      <c r="EO539" s="1485"/>
      <c r="EP539" s="1485"/>
      <c r="EQ539" s="1485"/>
      <c r="ER539" s="1485"/>
      <c r="ES539" s="1485"/>
      <c r="ET539" s="1485"/>
      <c r="EU539" s="1485"/>
      <c r="EV539" s="1485"/>
      <c r="EW539" s="1485"/>
      <c r="EX539" s="1486"/>
      <c r="EY539" s="1486"/>
      <c r="EZ539" s="1487"/>
      <c r="FA539" s="1487"/>
      <c r="FB539" s="1151"/>
      <c r="FC539" s="1151"/>
      <c r="FD539" s="1151"/>
      <c r="FE539" s="1151"/>
      <c r="FF539" s="1151"/>
      <c r="FG539" s="1151"/>
      <c r="FH539" s="1151"/>
      <c r="FI539" s="1151"/>
      <c r="FJ539" s="1151"/>
      <c r="FK539" s="1151"/>
      <c r="FL539" s="1151"/>
      <c r="FM539" s="1151"/>
      <c r="FN539" s="1151"/>
      <c r="FO539" s="1151"/>
      <c r="FP539" s="1151"/>
      <c r="FQ539" s="1151"/>
      <c r="FR539" s="1151"/>
      <c r="FS539" s="1151"/>
      <c r="FT539" s="1151"/>
      <c r="FU539" s="1151"/>
      <c r="FV539" s="1151"/>
      <c r="FW539" s="1151"/>
      <c r="FX539" s="1151"/>
      <c r="FY539" s="1488"/>
      <c r="FZ539" s="1488"/>
      <c r="GA539" s="1488"/>
      <c r="GB539" s="1485"/>
      <c r="GC539" s="1485"/>
      <c r="GD539" s="1485"/>
      <c r="GE539" s="1485"/>
      <c r="GF539" s="1485"/>
      <c r="GG539" s="1485"/>
      <c r="GH539" s="1485"/>
    </row>
    <row r="540" spans="144:190" s="1295" customFormat="1" x14ac:dyDescent="0.25">
      <c r="EN540" s="1485"/>
      <c r="EO540" s="1485"/>
      <c r="EP540" s="1485"/>
      <c r="EQ540" s="1485"/>
      <c r="ER540" s="1485"/>
      <c r="ES540" s="1485"/>
      <c r="ET540" s="1485"/>
      <c r="EU540" s="1485"/>
      <c r="EV540" s="1485"/>
      <c r="EW540" s="1485"/>
      <c r="EX540" s="1486"/>
      <c r="EY540" s="1486"/>
      <c r="EZ540" s="1487"/>
      <c r="FA540" s="1487"/>
      <c r="FB540" s="1151"/>
      <c r="FC540" s="1151"/>
      <c r="FD540" s="1151"/>
      <c r="FE540" s="1151"/>
      <c r="FF540" s="1151"/>
      <c r="FG540" s="1151"/>
      <c r="FH540" s="1151"/>
      <c r="FI540" s="1151"/>
      <c r="FJ540" s="1151"/>
      <c r="FK540" s="1151"/>
      <c r="FL540" s="1151"/>
      <c r="FM540" s="1151"/>
      <c r="FN540" s="1151"/>
      <c r="FO540" s="1151"/>
      <c r="FP540" s="1151"/>
      <c r="FQ540" s="1151"/>
      <c r="FR540" s="1151"/>
      <c r="FS540" s="1151"/>
      <c r="FT540" s="1151"/>
      <c r="FU540" s="1151"/>
      <c r="FV540" s="1151"/>
      <c r="FW540" s="1151"/>
      <c r="FX540" s="1151"/>
      <c r="FY540" s="1488"/>
      <c r="FZ540" s="1488"/>
      <c r="GA540" s="1488"/>
      <c r="GB540" s="1485"/>
      <c r="GC540" s="1485"/>
      <c r="GD540" s="1485"/>
      <c r="GE540" s="1485"/>
      <c r="GF540" s="1485"/>
      <c r="GG540" s="1485"/>
      <c r="GH540" s="1485"/>
    </row>
    <row r="541" spans="144:190" s="1295" customFormat="1" x14ac:dyDescent="0.25">
      <c r="EN541" s="1485"/>
      <c r="EO541" s="1485"/>
      <c r="EP541" s="1485"/>
      <c r="EQ541" s="1485"/>
      <c r="ER541" s="1485"/>
      <c r="ES541" s="1485"/>
      <c r="ET541" s="1485"/>
      <c r="EU541" s="1485"/>
      <c r="EV541" s="1485"/>
      <c r="EW541" s="1485"/>
      <c r="EX541" s="1486"/>
      <c r="EY541" s="1486"/>
      <c r="EZ541" s="1487"/>
      <c r="FA541" s="1487"/>
      <c r="FB541" s="1151"/>
      <c r="FC541" s="1151"/>
      <c r="FD541" s="1151"/>
      <c r="FE541" s="1151"/>
      <c r="FF541" s="1151"/>
      <c r="FG541" s="1151"/>
      <c r="FH541" s="1151"/>
      <c r="FI541" s="1151"/>
      <c r="FJ541" s="1151"/>
      <c r="FK541" s="1151"/>
      <c r="FL541" s="1151"/>
      <c r="FM541" s="1151"/>
      <c r="FN541" s="1151"/>
      <c r="FO541" s="1151"/>
      <c r="FP541" s="1151"/>
      <c r="FQ541" s="1151"/>
      <c r="FR541" s="1151"/>
      <c r="FS541" s="1151"/>
      <c r="FT541" s="1151"/>
      <c r="FU541" s="1151"/>
      <c r="FV541" s="1151"/>
      <c r="FW541" s="1151"/>
      <c r="FX541" s="1151"/>
      <c r="FY541" s="1488"/>
      <c r="FZ541" s="1488"/>
      <c r="GA541" s="1488"/>
      <c r="GB541" s="1485"/>
      <c r="GC541" s="1485"/>
      <c r="GD541" s="1485"/>
      <c r="GE541" s="1485"/>
      <c r="GF541" s="1485"/>
      <c r="GG541" s="1485"/>
      <c r="GH541" s="1485"/>
    </row>
    <row r="542" spans="144:190" s="1295" customFormat="1" x14ac:dyDescent="0.25">
      <c r="EN542" s="1485"/>
      <c r="EO542" s="1485"/>
      <c r="EP542" s="1485"/>
      <c r="EQ542" s="1485"/>
      <c r="ER542" s="1485"/>
      <c r="ES542" s="1485"/>
      <c r="ET542" s="1485"/>
      <c r="EU542" s="1485"/>
      <c r="EV542" s="1485"/>
      <c r="EW542" s="1485"/>
      <c r="EX542" s="1486"/>
      <c r="EY542" s="1486"/>
      <c r="EZ542" s="1487"/>
      <c r="FA542" s="1487"/>
      <c r="FB542" s="1151"/>
      <c r="FC542" s="1151"/>
      <c r="FD542" s="1151"/>
      <c r="FE542" s="1151"/>
      <c r="FF542" s="1151"/>
      <c r="FG542" s="1151"/>
      <c r="FH542" s="1151"/>
      <c r="FI542" s="1151"/>
      <c r="FJ542" s="1151"/>
      <c r="FK542" s="1151"/>
      <c r="FL542" s="1151"/>
      <c r="FM542" s="1151"/>
      <c r="FN542" s="1151"/>
      <c r="FO542" s="1151"/>
      <c r="FP542" s="1151"/>
      <c r="FQ542" s="1151"/>
      <c r="FR542" s="1151"/>
      <c r="FS542" s="1151"/>
      <c r="FT542" s="1151"/>
      <c r="FU542" s="1151"/>
      <c r="FV542" s="1151"/>
      <c r="FW542" s="1151"/>
      <c r="FX542" s="1151"/>
      <c r="FY542" s="1488"/>
      <c r="FZ542" s="1488"/>
      <c r="GA542" s="1488"/>
      <c r="GB542" s="1485"/>
      <c r="GC542" s="1485"/>
      <c r="GD542" s="1485"/>
      <c r="GE542" s="1485"/>
      <c r="GF542" s="1485"/>
      <c r="GG542" s="1485"/>
      <c r="GH542" s="1485"/>
    </row>
    <row r="543" spans="144:190" s="1295" customFormat="1" x14ac:dyDescent="0.25">
      <c r="EN543" s="1485"/>
      <c r="EO543" s="1485"/>
      <c r="EP543" s="1485"/>
      <c r="EQ543" s="1485"/>
      <c r="ER543" s="1485"/>
      <c r="ES543" s="1485"/>
      <c r="ET543" s="1485"/>
      <c r="EU543" s="1485"/>
      <c r="EV543" s="1485"/>
      <c r="EW543" s="1485"/>
      <c r="EX543" s="1486"/>
      <c r="EY543" s="1486"/>
      <c r="EZ543" s="1487"/>
      <c r="FA543" s="1487"/>
      <c r="FB543" s="1151"/>
      <c r="FC543" s="1151"/>
      <c r="FD543" s="1151"/>
      <c r="FE543" s="1151"/>
      <c r="FF543" s="1151"/>
      <c r="FG543" s="1151"/>
      <c r="FH543" s="1151"/>
      <c r="FI543" s="1151"/>
      <c r="FJ543" s="1151"/>
      <c r="FK543" s="1151"/>
      <c r="FL543" s="1151"/>
      <c r="FM543" s="1151"/>
      <c r="FN543" s="1151"/>
      <c r="FO543" s="1151"/>
      <c r="FP543" s="1151"/>
      <c r="FQ543" s="1151"/>
      <c r="FR543" s="1151"/>
      <c r="FS543" s="1151"/>
      <c r="FT543" s="1151"/>
      <c r="FU543" s="1151"/>
      <c r="FV543" s="1151"/>
      <c r="FW543" s="1151"/>
      <c r="FX543" s="1151"/>
      <c r="FY543" s="1488"/>
      <c r="FZ543" s="1488"/>
      <c r="GA543" s="1488"/>
      <c r="GB543" s="1485"/>
      <c r="GC543" s="1485"/>
      <c r="GD543" s="1485"/>
      <c r="GE543" s="1485"/>
      <c r="GF543" s="1485"/>
      <c r="GG543" s="1485"/>
      <c r="GH543" s="1485"/>
    </row>
    <row r="544" spans="144:190" s="1295" customFormat="1" x14ac:dyDescent="0.25">
      <c r="EN544" s="1485"/>
      <c r="EO544" s="1485"/>
      <c r="EP544" s="1485"/>
      <c r="EQ544" s="1485"/>
      <c r="ER544" s="1485"/>
      <c r="ES544" s="1485"/>
      <c r="ET544" s="1485"/>
      <c r="EU544" s="1485"/>
      <c r="EV544" s="1485"/>
      <c r="EW544" s="1485"/>
      <c r="EX544" s="1486"/>
      <c r="EY544" s="1486"/>
      <c r="EZ544" s="1487"/>
      <c r="FA544" s="1487"/>
      <c r="FB544" s="1151"/>
      <c r="FC544" s="1151"/>
      <c r="FD544" s="1151"/>
      <c r="FE544" s="1151"/>
      <c r="FF544" s="1151"/>
      <c r="FG544" s="1151"/>
      <c r="FH544" s="1151"/>
      <c r="FI544" s="1151"/>
      <c r="FJ544" s="1151"/>
      <c r="FK544" s="1151"/>
      <c r="FL544" s="1151"/>
      <c r="FM544" s="1151"/>
      <c r="FN544" s="1151"/>
      <c r="FO544" s="1151"/>
      <c r="FP544" s="1151"/>
      <c r="FQ544" s="1151"/>
      <c r="FR544" s="1151"/>
      <c r="FS544" s="1151"/>
      <c r="FT544" s="1151"/>
      <c r="FU544" s="1151"/>
      <c r="FV544" s="1151"/>
      <c r="FW544" s="1151"/>
      <c r="FX544" s="1151"/>
      <c r="FY544" s="1488"/>
      <c r="FZ544" s="1488"/>
      <c r="GA544" s="1488"/>
      <c r="GB544" s="1485"/>
      <c r="GC544" s="1485"/>
      <c r="GD544" s="1485"/>
      <c r="GE544" s="1485"/>
      <c r="GF544" s="1485"/>
      <c r="GG544" s="1485"/>
      <c r="GH544" s="1485"/>
    </row>
    <row r="545" spans="144:190" s="1295" customFormat="1" x14ac:dyDescent="0.25">
      <c r="EN545" s="1485"/>
      <c r="EO545" s="1485"/>
      <c r="EP545" s="1485"/>
      <c r="EQ545" s="1485"/>
      <c r="ER545" s="1485"/>
      <c r="ES545" s="1485"/>
      <c r="ET545" s="1485"/>
      <c r="EU545" s="1485"/>
      <c r="EV545" s="1485"/>
      <c r="EW545" s="1485"/>
      <c r="EX545" s="1486"/>
      <c r="EY545" s="1486"/>
      <c r="EZ545" s="1487"/>
      <c r="FA545" s="1487"/>
      <c r="FB545" s="1151"/>
      <c r="FC545" s="1151"/>
      <c r="FD545" s="1151"/>
      <c r="FE545" s="1151"/>
      <c r="FF545" s="1151"/>
      <c r="FG545" s="1151"/>
      <c r="FH545" s="1151"/>
      <c r="FI545" s="1151"/>
      <c r="FJ545" s="1151"/>
      <c r="FK545" s="1151"/>
      <c r="FL545" s="1151"/>
      <c r="FM545" s="1151"/>
      <c r="FN545" s="1151"/>
      <c r="FO545" s="1151"/>
      <c r="FP545" s="1151"/>
      <c r="FQ545" s="1151"/>
      <c r="FR545" s="1151"/>
      <c r="FS545" s="1151"/>
      <c r="FT545" s="1151"/>
      <c r="FU545" s="1151"/>
      <c r="FV545" s="1151"/>
      <c r="FW545" s="1151"/>
      <c r="FX545" s="1151"/>
      <c r="FY545" s="1488"/>
      <c r="FZ545" s="1488"/>
      <c r="GA545" s="1488"/>
      <c r="GB545" s="1485"/>
      <c r="GC545" s="1485"/>
      <c r="GD545" s="1485"/>
      <c r="GE545" s="1485"/>
      <c r="GF545" s="1485"/>
      <c r="GG545" s="1485"/>
      <c r="GH545" s="1485"/>
    </row>
    <row r="546" spans="144:190" s="1295" customFormat="1" x14ac:dyDescent="0.25">
      <c r="EN546" s="1485"/>
      <c r="EO546" s="1485"/>
      <c r="EP546" s="1485"/>
      <c r="EQ546" s="1485"/>
      <c r="ER546" s="1485"/>
      <c r="ES546" s="1485"/>
      <c r="ET546" s="1485"/>
      <c r="EU546" s="1485"/>
      <c r="EV546" s="1485"/>
      <c r="EW546" s="1485"/>
      <c r="EX546" s="1486"/>
      <c r="EY546" s="1486"/>
      <c r="EZ546" s="1487"/>
      <c r="FA546" s="1487"/>
      <c r="FB546" s="1151"/>
      <c r="FC546" s="1151"/>
      <c r="FD546" s="1151"/>
      <c r="FE546" s="1151"/>
      <c r="FF546" s="1151"/>
      <c r="FG546" s="1151"/>
      <c r="FH546" s="1151"/>
      <c r="FI546" s="1151"/>
      <c r="FJ546" s="1151"/>
      <c r="FK546" s="1151"/>
      <c r="FL546" s="1151"/>
      <c r="FM546" s="1151"/>
      <c r="FN546" s="1151"/>
      <c r="FO546" s="1151"/>
      <c r="FP546" s="1151"/>
      <c r="FQ546" s="1151"/>
      <c r="FR546" s="1151"/>
      <c r="FS546" s="1151"/>
      <c r="FT546" s="1151"/>
      <c r="FU546" s="1151"/>
      <c r="FV546" s="1151"/>
      <c r="FW546" s="1151"/>
      <c r="FX546" s="1151"/>
      <c r="FY546" s="1488"/>
      <c r="FZ546" s="1488"/>
      <c r="GA546" s="1488"/>
      <c r="GB546" s="1485"/>
      <c r="GC546" s="1485"/>
      <c r="GD546" s="1485"/>
      <c r="GE546" s="1485"/>
      <c r="GF546" s="1485"/>
      <c r="GG546" s="1485"/>
      <c r="GH546" s="1485"/>
    </row>
    <row r="547" spans="144:190" s="1295" customFormat="1" x14ac:dyDescent="0.25">
      <c r="EN547" s="1485"/>
      <c r="EO547" s="1485"/>
      <c r="EP547" s="1485"/>
      <c r="EQ547" s="1485"/>
      <c r="ER547" s="1485"/>
      <c r="ES547" s="1485"/>
      <c r="ET547" s="1485"/>
      <c r="EU547" s="1485"/>
      <c r="EV547" s="1485"/>
      <c r="EW547" s="1485"/>
      <c r="EX547" s="1486"/>
      <c r="EY547" s="1486"/>
      <c r="EZ547" s="1487"/>
      <c r="FA547" s="1487"/>
      <c r="FB547" s="1151"/>
      <c r="FC547" s="1151"/>
      <c r="FD547" s="1151"/>
      <c r="FE547" s="1151"/>
      <c r="FF547" s="1151"/>
      <c r="FG547" s="1151"/>
      <c r="FH547" s="1151"/>
      <c r="FI547" s="1151"/>
      <c r="FJ547" s="1151"/>
      <c r="FK547" s="1151"/>
      <c r="FL547" s="1151"/>
      <c r="FM547" s="1151"/>
      <c r="FN547" s="1151"/>
      <c r="FO547" s="1151"/>
      <c r="FP547" s="1151"/>
      <c r="FQ547" s="1151"/>
      <c r="FR547" s="1151"/>
      <c r="FS547" s="1151"/>
      <c r="FT547" s="1151"/>
      <c r="FU547" s="1151"/>
      <c r="FV547" s="1151"/>
      <c r="FW547" s="1151"/>
      <c r="FX547" s="1151"/>
      <c r="FY547" s="1488"/>
      <c r="FZ547" s="1488"/>
      <c r="GA547" s="1488"/>
      <c r="GB547" s="1485"/>
      <c r="GC547" s="1485"/>
      <c r="GD547" s="1485"/>
      <c r="GE547" s="1485"/>
      <c r="GF547" s="1485"/>
      <c r="GG547" s="1485"/>
      <c r="GH547" s="1485"/>
    </row>
    <row r="548" spans="144:190" s="1295" customFormat="1" x14ac:dyDescent="0.25">
      <c r="EN548" s="1485"/>
      <c r="EO548" s="1485"/>
      <c r="EP548" s="1485"/>
      <c r="EQ548" s="1485"/>
      <c r="ER548" s="1485"/>
      <c r="ES548" s="1485"/>
      <c r="ET548" s="1485"/>
      <c r="EU548" s="1485"/>
      <c r="EV548" s="1485"/>
      <c r="EW548" s="1485"/>
      <c r="EX548" s="1486"/>
      <c r="EY548" s="1486"/>
      <c r="EZ548" s="1487"/>
      <c r="FA548" s="1487"/>
      <c r="FB548" s="1151"/>
      <c r="FC548" s="1151"/>
      <c r="FD548" s="1151"/>
      <c r="FE548" s="1151"/>
      <c r="FF548" s="1151"/>
      <c r="FG548" s="1151"/>
      <c r="FH548" s="1151"/>
      <c r="FI548" s="1151"/>
      <c r="FJ548" s="1151"/>
      <c r="FK548" s="1151"/>
      <c r="FL548" s="1151"/>
      <c r="FM548" s="1151"/>
      <c r="FN548" s="1151"/>
      <c r="FO548" s="1151"/>
      <c r="FP548" s="1151"/>
      <c r="FQ548" s="1151"/>
      <c r="FR548" s="1151"/>
      <c r="FS548" s="1151"/>
      <c r="FT548" s="1151"/>
      <c r="FU548" s="1151"/>
      <c r="FV548" s="1151"/>
      <c r="FW548" s="1151"/>
      <c r="FX548" s="1151"/>
      <c r="FY548" s="1488"/>
      <c r="FZ548" s="1488"/>
      <c r="GA548" s="1488"/>
      <c r="GB548" s="1485"/>
      <c r="GC548" s="1485"/>
      <c r="GD548" s="1485"/>
      <c r="GE548" s="1485"/>
      <c r="GF548" s="1485"/>
      <c r="GG548" s="1485"/>
      <c r="GH548" s="1485"/>
    </row>
    <row r="549" spans="144:190" s="1295" customFormat="1" x14ac:dyDescent="0.25">
      <c r="EN549" s="1485"/>
      <c r="EO549" s="1485"/>
      <c r="EP549" s="1485"/>
      <c r="EQ549" s="1485"/>
      <c r="ER549" s="1485"/>
      <c r="ES549" s="1485"/>
      <c r="ET549" s="1485"/>
      <c r="EU549" s="1485"/>
      <c r="EV549" s="1485"/>
      <c r="EW549" s="1485"/>
      <c r="EX549" s="1486"/>
      <c r="EY549" s="1486"/>
      <c r="EZ549" s="1487"/>
      <c r="FA549" s="1487"/>
      <c r="FB549" s="1151"/>
      <c r="FC549" s="1151"/>
      <c r="FD549" s="1151"/>
      <c r="FE549" s="1151"/>
      <c r="FF549" s="1151"/>
      <c r="FG549" s="1151"/>
      <c r="FH549" s="1151"/>
      <c r="FI549" s="1151"/>
      <c r="FJ549" s="1151"/>
      <c r="FK549" s="1151"/>
      <c r="FL549" s="1151"/>
      <c r="FM549" s="1151"/>
      <c r="FN549" s="1151"/>
      <c r="FO549" s="1151"/>
      <c r="FP549" s="1151"/>
      <c r="FQ549" s="1151"/>
      <c r="FR549" s="1151"/>
      <c r="FS549" s="1151"/>
      <c r="FT549" s="1151"/>
      <c r="FU549" s="1151"/>
      <c r="FV549" s="1151"/>
      <c r="FW549" s="1151"/>
      <c r="FX549" s="1151"/>
      <c r="FY549" s="1488"/>
      <c r="FZ549" s="1488"/>
      <c r="GA549" s="1488"/>
      <c r="GB549" s="1485"/>
      <c r="GC549" s="1485"/>
      <c r="GD549" s="1485"/>
      <c r="GE549" s="1485"/>
      <c r="GF549" s="1485"/>
      <c r="GG549" s="1485"/>
      <c r="GH549" s="1485"/>
    </row>
    <row r="550" spans="144:190" s="1295" customFormat="1" x14ac:dyDescent="0.25">
      <c r="EN550" s="1485"/>
      <c r="EO550" s="1485"/>
      <c r="EP550" s="1485"/>
      <c r="EQ550" s="1485"/>
      <c r="ER550" s="1485"/>
      <c r="ES550" s="1485"/>
      <c r="ET550" s="1485"/>
      <c r="EU550" s="1485"/>
      <c r="EV550" s="1485"/>
      <c r="EW550" s="1485"/>
      <c r="EX550" s="1486"/>
      <c r="EY550" s="1486"/>
      <c r="EZ550" s="1487"/>
      <c r="FA550" s="1487"/>
      <c r="FB550" s="1151"/>
      <c r="FC550" s="1151"/>
      <c r="FD550" s="1151"/>
      <c r="FE550" s="1151"/>
      <c r="FF550" s="1151"/>
      <c r="FG550" s="1151"/>
      <c r="FH550" s="1151"/>
      <c r="FI550" s="1151"/>
      <c r="FJ550" s="1151"/>
      <c r="FK550" s="1151"/>
      <c r="FL550" s="1151"/>
      <c r="FM550" s="1151"/>
      <c r="FN550" s="1151"/>
      <c r="FO550" s="1151"/>
      <c r="FP550" s="1151"/>
      <c r="FQ550" s="1151"/>
      <c r="FR550" s="1151"/>
      <c r="FS550" s="1151"/>
      <c r="FT550" s="1151"/>
      <c r="FU550" s="1151"/>
      <c r="FV550" s="1151"/>
      <c r="FW550" s="1151"/>
      <c r="FX550" s="1151"/>
      <c r="FY550" s="1488"/>
      <c r="FZ550" s="1488"/>
      <c r="GA550" s="1488"/>
      <c r="GB550" s="1485"/>
      <c r="GC550" s="1485"/>
      <c r="GD550" s="1485"/>
      <c r="GE550" s="1485"/>
      <c r="GF550" s="1485"/>
      <c r="GG550" s="1485"/>
      <c r="GH550" s="1485"/>
    </row>
    <row r="551" spans="144:190" s="1295" customFormat="1" x14ac:dyDescent="0.25">
      <c r="EN551" s="1485"/>
      <c r="EO551" s="1485"/>
      <c r="EP551" s="1485"/>
      <c r="EQ551" s="1485"/>
      <c r="ER551" s="1485"/>
      <c r="ES551" s="1485"/>
      <c r="ET551" s="1485"/>
      <c r="EU551" s="1485"/>
      <c r="EV551" s="1485"/>
      <c r="EW551" s="1485"/>
      <c r="EX551" s="1486"/>
      <c r="EY551" s="1486"/>
      <c r="EZ551" s="1487"/>
      <c r="FA551" s="1487"/>
      <c r="FB551" s="1151"/>
      <c r="FC551" s="1151"/>
      <c r="FD551" s="1151"/>
      <c r="FE551" s="1151"/>
      <c r="FF551" s="1151"/>
      <c r="FG551" s="1151"/>
      <c r="FH551" s="1151"/>
      <c r="FI551" s="1151"/>
      <c r="FJ551" s="1151"/>
      <c r="FK551" s="1151"/>
      <c r="FL551" s="1151"/>
      <c r="FM551" s="1151"/>
      <c r="FN551" s="1151"/>
      <c r="FO551" s="1151"/>
      <c r="FP551" s="1151"/>
      <c r="FQ551" s="1151"/>
      <c r="FR551" s="1151"/>
      <c r="FS551" s="1151"/>
      <c r="FT551" s="1151"/>
      <c r="FU551" s="1151"/>
      <c r="FV551" s="1151"/>
      <c r="FW551" s="1151"/>
      <c r="FX551" s="1151"/>
      <c r="FY551" s="1488"/>
      <c r="FZ551" s="1488"/>
      <c r="GA551" s="1488"/>
      <c r="GB551" s="1485"/>
      <c r="GC551" s="1485"/>
      <c r="GD551" s="1485"/>
      <c r="GE551" s="1485"/>
      <c r="GF551" s="1485"/>
      <c r="GG551" s="1485"/>
      <c r="GH551" s="1485"/>
    </row>
    <row r="552" spans="144:190" s="1295" customFormat="1" x14ac:dyDescent="0.25">
      <c r="EN552" s="1485"/>
      <c r="EO552" s="1485"/>
      <c r="EP552" s="1485"/>
      <c r="EQ552" s="1485"/>
      <c r="ER552" s="1485"/>
      <c r="ES552" s="1485"/>
      <c r="ET552" s="1485"/>
      <c r="EU552" s="1485"/>
      <c r="EV552" s="1485"/>
      <c r="EW552" s="1485"/>
      <c r="EX552" s="1486"/>
      <c r="EY552" s="1486"/>
      <c r="EZ552" s="1487"/>
      <c r="FA552" s="1487"/>
      <c r="FB552" s="1151"/>
      <c r="FC552" s="1151"/>
      <c r="FD552" s="1151"/>
      <c r="FE552" s="1151"/>
      <c r="FF552" s="1151"/>
      <c r="FG552" s="1151"/>
      <c r="FH552" s="1151"/>
      <c r="FI552" s="1151"/>
      <c r="FJ552" s="1151"/>
      <c r="FK552" s="1151"/>
      <c r="FL552" s="1151"/>
      <c r="FM552" s="1151"/>
      <c r="FN552" s="1151"/>
      <c r="FO552" s="1151"/>
      <c r="FP552" s="1151"/>
      <c r="FQ552" s="1151"/>
      <c r="FR552" s="1151"/>
      <c r="FS552" s="1151"/>
      <c r="FT552" s="1151"/>
      <c r="FU552" s="1151"/>
      <c r="FV552" s="1151"/>
      <c r="FW552" s="1151"/>
      <c r="FX552" s="1151"/>
      <c r="FY552" s="1488"/>
      <c r="FZ552" s="1488"/>
      <c r="GA552" s="1488"/>
      <c r="GB552" s="1485"/>
      <c r="GC552" s="1485"/>
      <c r="GD552" s="1485"/>
      <c r="GE552" s="1485"/>
      <c r="GF552" s="1485"/>
      <c r="GG552" s="1485"/>
      <c r="GH552" s="1485"/>
    </row>
    <row r="553" spans="144:190" s="1295" customFormat="1" x14ac:dyDescent="0.25">
      <c r="EN553" s="1485"/>
      <c r="EO553" s="1485"/>
      <c r="EP553" s="1485"/>
      <c r="EQ553" s="1485"/>
      <c r="ER553" s="1485"/>
      <c r="ES553" s="1485"/>
      <c r="ET553" s="1485"/>
      <c r="EU553" s="1485"/>
      <c r="EV553" s="1485"/>
      <c r="EW553" s="1485"/>
      <c r="EX553" s="1486"/>
      <c r="EY553" s="1486"/>
      <c r="EZ553" s="1487"/>
      <c r="FA553" s="1487"/>
      <c r="FB553" s="1151"/>
      <c r="FC553" s="1151"/>
      <c r="FD553" s="1151"/>
      <c r="FE553" s="1151"/>
      <c r="FF553" s="1151"/>
      <c r="FG553" s="1151"/>
      <c r="FH553" s="1151"/>
      <c r="FI553" s="1151"/>
      <c r="FJ553" s="1151"/>
      <c r="FK553" s="1151"/>
      <c r="FL553" s="1151"/>
      <c r="FM553" s="1151"/>
      <c r="FN553" s="1151"/>
      <c r="FO553" s="1151"/>
      <c r="FP553" s="1151"/>
      <c r="FQ553" s="1151"/>
      <c r="FR553" s="1151"/>
      <c r="FS553" s="1151"/>
      <c r="FT553" s="1151"/>
      <c r="FU553" s="1151"/>
      <c r="FV553" s="1151"/>
      <c r="FW553" s="1151"/>
      <c r="FX553" s="1151"/>
      <c r="FY553" s="1488"/>
      <c r="FZ553" s="1488"/>
      <c r="GA553" s="1488"/>
      <c r="GB553" s="1485"/>
      <c r="GC553" s="1485"/>
      <c r="GD553" s="1485"/>
      <c r="GE553" s="1485"/>
      <c r="GF553" s="1485"/>
      <c r="GG553" s="1485"/>
      <c r="GH553" s="1485"/>
    </row>
    <row r="554" spans="144:190" s="1295" customFormat="1" x14ac:dyDescent="0.25">
      <c r="EN554" s="1485"/>
      <c r="EO554" s="1485"/>
      <c r="EP554" s="1485"/>
      <c r="EQ554" s="1485"/>
      <c r="ER554" s="1485"/>
      <c r="ES554" s="1485"/>
      <c r="ET554" s="1485"/>
      <c r="EU554" s="1485"/>
      <c r="EV554" s="1485"/>
      <c r="EW554" s="1485"/>
      <c r="EX554" s="1486"/>
      <c r="EY554" s="1486"/>
      <c r="EZ554" s="1487"/>
      <c r="FA554" s="1487"/>
      <c r="FB554" s="1151"/>
      <c r="FC554" s="1151"/>
      <c r="FD554" s="1151"/>
      <c r="FE554" s="1151"/>
      <c r="FF554" s="1151"/>
      <c r="FG554" s="1151"/>
      <c r="FH554" s="1151"/>
      <c r="FI554" s="1151"/>
      <c r="FJ554" s="1151"/>
      <c r="FK554" s="1151"/>
      <c r="FL554" s="1151"/>
      <c r="FM554" s="1151"/>
      <c r="FN554" s="1151"/>
      <c r="FO554" s="1151"/>
      <c r="FP554" s="1151"/>
      <c r="FQ554" s="1151"/>
      <c r="FR554" s="1151"/>
      <c r="FS554" s="1151"/>
      <c r="FT554" s="1151"/>
      <c r="FU554" s="1151"/>
      <c r="FV554" s="1151"/>
      <c r="FW554" s="1151"/>
      <c r="FX554" s="1151"/>
      <c r="FY554" s="1488"/>
      <c r="FZ554" s="1488"/>
      <c r="GA554" s="1488"/>
      <c r="GB554" s="1485"/>
      <c r="GC554" s="1485"/>
      <c r="GD554" s="1485"/>
      <c r="GE554" s="1485"/>
      <c r="GF554" s="1485"/>
      <c r="GG554" s="1485"/>
      <c r="GH554" s="1485"/>
    </row>
    <row r="555" spans="144:190" s="1295" customFormat="1" x14ac:dyDescent="0.25">
      <c r="EN555" s="1485"/>
      <c r="EO555" s="1485"/>
      <c r="EP555" s="1485"/>
      <c r="EQ555" s="1485"/>
      <c r="ER555" s="1485"/>
      <c r="ES555" s="1485"/>
      <c r="ET555" s="1485"/>
      <c r="EU555" s="1485"/>
      <c r="EV555" s="1485"/>
      <c r="EW555" s="1485"/>
      <c r="EX555" s="1486"/>
      <c r="EY555" s="1486"/>
      <c r="EZ555" s="1487"/>
      <c r="FA555" s="1487"/>
      <c r="FB555" s="1151"/>
      <c r="FC555" s="1151"/>
      <c r="FD555" s="1151"/>
      <c r="FE555" s="1151"/>
      <c r="FF555" s="1151"/>
      <c r="FG555" s="1151"/>
      <c r="FH555" s="1151"/>
      <c r="FI555" s="1151"/>
      <c r="FJ555" s="1151"/>
      <c r="FK555" s="1151"/>
      <c r="FL555" s="1151"/>
      <c r="FM555" s="1151"/>
      <c r="FN555" s="1151"/>
      <c r="FO555" s="1151"/>
      <c r="FP555" s="1151"/>
      <c r="FQ555" s="1151"/>
      <c r="FR555" s="1151"/>
      <c r="FS555" s="1151"/>
      <c r="FT555" s="1151"/>
      <c r="FU555" s="1151"/>
      <c r="FV555" s="1151"/>
      <c r="FW555" s="1151"/>
      <c r="FX555" s="1151"/>
      <c r="FY555" s="1488"/>
      <c r="FZ555" s="1488"/>
      <c r="GA555" s="1488"/>
      <c r="GB555" s="1485"/>
      <c r="GC555" s="1485"/>
      <c r="GD555" s="1485"/>
      <c r="GE555" s="1485"/>
      <c r="GF555" s="1485"/>
      <c r="GG555" s="1485"/>
      <c r="GH555" s="1485"/>
    </row>
    <row r="556" spans="144:190" s="1295" customFormat="1" x14ac:dyDescent="0.25">
      <c r="EN556" s="1485"/>
      <c r="EO556" s="1485"/>
      <c r="EP556" s="1485"/>
      <c r="EQ556" s="1485"/>
      <c r="ER556" s="1485"/>
      <c r="ES556" s="1485"/>
      <c r="ET556" s="1485"/>
      <c r="EU556" s="1485"/>
      <c r="EV556" s="1485"/>
      <c r="EW556" s="1485"/>
      <c r="EX556" s="1486"/>
      <c r="EY556" s="1486"/>
      <c r="EZ556" s="1487"/>
      <c r="FA556" s="1487"/>
      <c r="FB556" s="1151"/>
      <c r="FC556" s="1151"/>
      <c r="FD556" s="1151"/>
      <c r="FE556" s="1151"/>
      <c r="FF556" s="1151"/>
      <c r="FG556" s="1151"/>
      <c r="FH556" s="1151"/>
      <c r="FI556" s="1151"/>
      <c r="FJ556" s="1151"/>
      <c r="FK556" s="1151"/>
      <c r="FL556" s="1151"/>
      <c r="FM556" s="1151"/>
      <c r="FN556" s="1151"/>
      <c r="FO556" s="1151"/>
      <c r="FP556" s="1151"/>
      <c r="FQ556" s="1151"/>
      <c r="FR556" s="1151"/>
      <c r="FS556" s="1151"/>
      <c r="FT556" s="1151"/>
      <c r="FU556" s="1151"/>
      <c r="FV556" s="1151"/>
      <c r="FW556" s="1151"/>
      <c r="FX556" s="1151"/>
      <c r="FY556" s="1488"/>
      <c r="FZ556" s="1488"/>
      <c r="GA556" s="1488"/>
      <c r="GB556" s="1485"/>
      <c r="GC556" s="1485"/>
      <c r="GD556" s="1485"/>
      <c r="GE556" s="1485"/>
      <c r="GF556" s="1485"/>
      <c r="GG556" s="1485"/>
      <c r="GH556" s="1485"/>
    </row>
    <row r="557" spans="144:190" s="1295" customFormat="1" x14ac:dyDescent="0.25">
      <c r="EN557" s="1485"/>
      <c r="EO557" s="1485"/>
      <c r="EP557" s="1485"/>
      <c r="EQ557" s="1485"/>
      <c r="ER557" s="1485"/>
      <c r="ES557" s="1485"/>
      <c r="ET557" s="1485"/>
      <c r="EU557" s="1485"/>
      <c r="EV557" s="1485"/>
      <c r="EW557" s="1485"/>
      <c r="EX557" s="1486"/>
      <c r="EY557" s="1486"/>
      <c r="EZ557" s="1487"/>
      <c r="FA557" s="1487"/>
      <c r="FB557" s="1151"/>
      <c r="FC557" s="1151"/>
      <c r="FD557" s="1151"/>
      <c r="FE557" s="1151"/>
      <c r="FF557" s="1151"/>
      <c r="FG557" s="1151"/>
      <c r="FH557" s="1151"/>
      <c r="FI557" s="1151"/>
      <c r="FJ557" s="1151"/>
      <c r="FK557" s="1151"/>
      <c r="FL557" s="1151"/>
      <c r="FM557" s="1151"/>
      <c r="FN557" s="1151"/>
      <c r="FO557" s="1151"/>
      <c r="FP557" s="1151"/>
      <c r="FQ557" s="1151"/>
      <c r="FR557" s="1151"/>
      <c r="FS557" s="1151"/>
      <c r="FT557" s="1151"/>
      <c r="FU557" s="1151"/>
      <c r="FV557" s="1151"/>
      <c r="FW557" s="1151"/>
      <c r="FX557" s="1151"/>
      <c r="FY557" s="1488"/>
      <c r="FZ557" s="1488"/>
      <c r="GA557" s="1488"/>
      <c r="GB557" s="1485"/>
      <c r="GC557" s="1485"/>
      <c r="GD557" s="1485"/>
      <c r="GE557" s="1485"/>
      <c r="GF557" s="1485"/>
      <c r="GG557" s="1485"/>
      <c r="GH557" s="1485"/>
    </row>
    <row r="558" spans="144:190" s="1295" customFormat="1" x14ac:dyDescent="0.25">
      <c r="EN558" s="1485"/>
      <c r="EO558" s="1485"/>
      <c r="EP558" s="1485"/>
      <c r="EQ558" s="1485"/>
      <c r="ER558" s="1485"/>
      <c r="ES558" s="1485"/>
      <c r="ET558" s="1485"/>
      <c r="EU558" s="1485"/>
      <c r="EV558" s="1485"/>
      <c r="EW558" s="1485"/>
      <c r="EX558" s="1486"/>
      <c r="EY558" s="1486"/>
      <c r="EZ558" s="1487"/>
      <c r="FA558" s="1487"/>
      <c r="FB558" s="1151"/>
      <c r="FC558" s="1151"/>
      <c r="FD558" s="1151"/>
      <c r="FE558" s="1151"/>
      <c r="FF558" s="1151"/>
      <c r="FG558" s="1151"/>
      <c r="FH558" s="1151"/>
      <c r="FI558" s="1151"/>
      <c r="FJ558" s="1151"/>
      <c r="FK558" s="1151"/>
      <c r="FL558" s="1151"/>
      <c r="FM558" s="1151"/>
      <c r="FN558" s="1151"/>
      <c r="FO558" s="1151"/>
      <c r="FP558" s="1151"/>
      <c r="FQ558" s="1151"/>
      <c r="FR558" s="1151"/>
      <c r="FS558" s="1151"/>
      <c r="FT558" s="1151"/>
      <c r="FU558" s="1151"/>
      <c r="FV558" s="1151"/>
      <c r="FW558" s="1151"/>
      <c r="FX558" s="1151"/>
      <c r="FY558" s="1488"/>
      <c r="FZ558" s="1488"/>
      <c r="GA558" s="1488"/>
      <c r="GB558" s="1485"/>
      <c r="GC558" s="1485"/>
      <c r="GD558" s="1485"/>
      <c r="GE558" s="1485"/>
      <c r="GF558" s="1485"/>
      <c r="GG558" s="1485"/>
      <c r="GH558" s="1485"/>
    </row>
    <row r="559" spans="144:190" s="1295" customFormat="1" x14ac:dyDescent="0.25">
      <c r="EN559" s="1485"/>
      <c r="EO559" s="1485"/>
      <c r="EP559" s="1485"/>
      <c r="EQ559" s="1485"/>
      <c r="ER559" s="1485"/>
      <c r="ES559" s="1485"/>
      <c r="ET559" s="1485"/>
      <c r="EU559" s="1485"/>
      <c r="EV559" s="1485"/>
      <c r="EW559" s="1485"/>
      <c r="EX559" s="1486"/>
      <c r="EY559" s="1486"/>
      <c r="EZ559" s="1487"/>
      <c r="FA559" s="1487"/>
      <c r="FB559" s="1151"/>
      <c r="FC559" s="1151"/>
      <c r="FD559" s="1151"/>
      <c r="FE559" s="1151"/>
      <c r="FF559" s="1151"/>
      <c r="FG559" s="1151"/>
      <c r="FH559" s="1151"/>
      <c r="FI559" s="1151"/>
      <c r="FJ559" s="1151"/>
      <c r="FK559" s="1151"/>
      <c r="FL559" s="1151"/>
      <c r="FM559" s="1151"/>
      <c r="FN559" s="1151"/>
      <c r="FO559" s="1151"/>
      <c r="FP559" s="1151"/>
      <c r="FQ559" s="1151"/>
      <c r="FR559" s="1151"/>
      <c r="FS559" s="1151"/>
      <c r="FT559" s="1151"/>
      <c r="FU559" s="1151"/>
      <c r="FV559" s="1151"/>
      <c r="FW559" s="1151"/>
      <c r="FX559" s="1151"/>
      <c r="FY559" s="1488"/>
      <c r="FZ559" s="1488"/>
      <c r="GA559" s="1488"/>
      <c r="GB559" s="1485"/>
      <c r="GC559" s="1485"/>
      <c r="GD559" s="1485"/>
      <c r="GE559" s="1485"/>
      <c r="GF559" s="1485"/>
      <c r="GG559" s="1485"/>
      <c r="GH559" s="1485"/>
    </row>
    <row r="560" spans="144:190" s="1295" customFormat="1" x14ac:dyDescent="0.25">
      <c r="EN560" s="1485"/>
      <c r="EO560" s="1485"/>
      <c r="EP560" s="1485"/>
      <c r="EQ560" s="1485"/>
      <c r="ER560" s="1485"/>
      <c r="ES560" s="1485"/>
      <c r="ET560" s="1485"/>
      <c r="EU560" s="1485"/>
      <c r="EV560" s="1485"/>
      <c r="EW560" s="1485"/>
      <c r="EX560" s="1486"/>
      <c r="EY560" s="1486"/>
      <c r="EZ560" s="1487"/>
      <c r="FA560" s="1487"/>
      <c r="FB560" s="1151"/>
      <c r="FC560" s="1151"/>
      <c r="FD560" s="1151"/>
      <c r="FE560" s="1151"/>
      <c r="FF560" s="1151"/>
      <c r="FG560" s="1151"/>
      <c r="FH560" s="1151"/>
      <c r="FI560" s="1151"/>
      <c r="FJ560" s="1151"/>
      <c r="FK560" s="1151"/>
      <c r="FL560" s="1151"/>
      <c r="FM560" s="1151"/>
      <c r="FN560" s="1151"/>
      <c r="FO560" s="1151"/>
      <c r="FP560" s="1151"/>
      <c r="FQ560" s="1151"/>
      <c r="FR560" s="1151"/>
      <c r="FS560" s="1151"/>
      <c r="FT560" s="1151"/>
      <c r="FU560" s="1151"/>
      <c r="FV560" s="1151"/>
      <c r="FW560" s="1151"/>
      <c r="FX560" s="1151"/>
      <c r="FY560" s="1488"/>
      <c r="FZ560" s="1488"/>
      <c r="GA560" s="1488"/>
      <c r="GB560" s="1485"/>
      <c r="GC560" s="1485"/>
      <c r="GD560" s="1485"/>
      <c r="GE560" s="1485"/>
      <c r="GF560" s="1485"/>
      <c r="GG560" s="1485"/>
      <c r="GH560" s="1485"/>
    </row>
    <row r="561" spans="144:190" s="1295" customFormat="1" x14ac:dyDescent="0.25">
      <c r="EN561" s="1485"/>
      <c r="EO561" s="1485"/>
      <c r="EP561" s="1485"/>
      <c r="EQ561" s="1485"/>
      <c r="ER561" s="1485"/>
      <c r="ES561" s="1485"/>
      <c r="ET561" s="1485"/>
      <c r="EU561" s="1485"/>
      <c r="EV561" s="1485"/>
      <c r="EW561" s="1485"/>
      <c r="EX561" s="1486"/>
      <c r="EY561" s="1486"/>
      <c r="EZ561" s="1487"/>
      <c r="FA561" s="1487"/>
      <c r="FB561" s="1151"/>
      <c r="FC561" s="1151"/>
      <c r="FD561" s="1151"/>
      <c r="FE561" s="1151"/>
      <c r="FF561" s="1151"/>
      <c r="FG561" s="1151"/>
      <c r="FH561" s="1151"/>
      <c r="FI561" s="1151"/>
      <c r="FJ561" s="1151"/>
      <c r="FK561" s="1151"/>
      <c r="FL561" s="1151"/>
      <c r="FM561" s="1151"/>
      <c r="FN561" s="1151"/>
      <c r="FO561" s="1151"/>
      <c r="FP561" s="1151"/>
      <c r="FQ561" s="1151"/>
      <c r="FR561" s="1151"/>
      <c r="FS561" s="1151"/>
      <c r="FT561" s="1151"/>
      <c r="FU561" s="1151"/>
      <c r="FV561" s="1151"/>
      <c r="FW561" s="1151"/>
      <c r="FX561" s="1151"/>
      <c r="FY561" s="1488"/>
      <c r="FZ561" s="1488"/>
      <c r="GA561" s="1488"/>
      <c r="GB561" s="1485"/>
      <c r="GC561" s="1485"/>
      <c r="GD561" s="1485"/>
      <c r="GE561" s="1485"/>
      <c r="GF561" s="1485"/>
      <c r="GG561" s="1485"/>
      <c r="GH561" s="1485"/>
    </row>
    <row r="562" spans="144:190" s="1295" customFormat="1" x14ac:dyDescent="0.25">
      <c r="EN562" s="1485"/>
      <c r="EO562" s="1485"/>
      <c r="EP562" s="1485"/>
      <c r="EQ562" s="1485"/>
      <c r="ER562" s="1485"/>
      <c r="ES562" s="1485"/>
      <c r="ET562" s="1485"/>
      <c r="EU562" s="1485"/>
      <c r="EV562" s="1485"/>
      <c r="EW562" s="1485"/>
      <c r="EX562" s="1486"/>
      <c r="EY562" s="1486"/>
      <c r="EZ562" s="1487"/>
      <c r="FA562" s="1487"/>
      <c r="FB562" s="1151"/>
      <c r="FC562" s="1151"/>
      <c r="FD562" s="1151"/>
      <c r="FE562" s="1151"/>
      <c r="FF562" s="1151"/>
      <c r="FG562" s="1151"/>
      <c r="FH562" s="1151"/>
      <c r="FI562" s="1151"/>
      <c r="FJ562" s="1151"/>
      <c r="FK562" s="1151"/>
      <c r="FL562" s="1151"/>
      <c r="FM562" s="1151"/>
      <c r="FN562" s="1151"/>
      <c r="FO562" s="1151"/>
      <c r="FP562" s="1151"/>
      <c r="FQ562" s="1151"/>
      <c r="FR562" s="1151"/>
      <c r="FS562" s="1151"/>
      <c r="FT562" s="1151"/>
      <c r="FU562" s="1151"/>
      <c r="FV562" s="1151"/>
      <c r="FW562" s="1151"/>
      <c r="FX562" s="1151"/>
      <c r="FY562" s="1488"/>
      <c r="FZ562" s="1488"/>
      <c r="GA562" s="1488"/>
      <c r="GB562" s="1485"/>
      <c r="GC562" s="1485"/>
      <c r="GD562" s="1485"/>
      <c r="GE562" s="1485"/>
      <c r="GF562" s="1485"/>
      <c r="GG562" s="1485"/>
      <c r="GH562" s="1485"/>
    </row>
    <row r="563" spans="144:190" s="1295" customFormat="1" x14ac:dyDescent="0.25">
      <c r="EN563" s="1485"/>
      <c r="EO563" s="1485"/>
      <c r="EP563" s="1485"/>
      <c r="EQ563" s="1485"/>
      <c r="ER563" s="1485"/>
      <c r="ES563" s="1485"/>
      <c r="ET563" s="1485"/>
      <c r="EU563" s="1485"/>
      <c r="EV563" s="1485"/>
      <c r="EW563" s="1485"/>
      <c r="EX563" s="1486"/>
      <c r="EY563" s="1486"/>
      <c r="EZ563" s="1487"/>
      <c r="FA563" s="1487"/>
      <c r="FB563" s="1151"/>
      <c r="FC563" s="1151"/>
      <c r="FD563" s="1151"/>
      <c r="FE563" s="1151"/>
      <c r="FF563" s="1151"/>
      <c r="FG563" s="1151"/>
      <c r="FH563" s="1151"/>
      <c r="FI563" s="1151"/>
      <c r="FJ563" s="1151"/>
      <c r="FK563" s="1151"/>
      <c r="FL563" s="1151"/>
      <c r="FM563" s="1151"/>
      <c r="FN563" s="1151"/>
      <c r="FO563" s="1151"/>
      <c r="FP563" s="1151"/>
      <c r="FQ563" s="1151"/>
      <c r="FR563" s="1151"/>
      <c r="FS563" s="1151"/>
      <c r="FT563" s="1151"/>
      <c r="FU563" s="1151"/>
      <c r="FV563" s="1151"/>
      <c r="FW563" s="1151"/>
      <c r="FX563" s="1151"/>
      <c r="FY563" s="1488"/>
      <c r="FZ563" s="1488"/>
      <c r="GA563" s="1488"/>
      <c r="GB563" s="1485"/>
      <c r="GC563" s="1485"/>
      <c r="GD563" s="1485"/>
      <c r="GE563" s="1485"/>
      <c r="GF563" s="1485"/>
      <c r="GG563" s="1485"/>
      <c r="GH563" s="1485"/>
    </row>
    <row r="564" spans="144:190" s="1295" customFormat="1" x14ac:dyDescent="0.25">
      <c r="EN564" s="1485"/>
      <c r="EO564" s="1485"/>
      <c r="EP564" s="1485"/>
      <c r="EQ564" s="1485"/>
      <c r="ER564" s="1485"/>
      <c r="ES564" s="1485"/>
      <c r="ET564" s="1485"/>
      <c r="EU564" s="1485"/>
      <c r="EV564" s="1485"/>
      <c r="EW564" s="1485"/>
      <c r="EX564" s="1486"/>
      <c r="EY564" s="1486"/>
      <c r="EZ564" s="1487"/>
      <c r="FA564" s="1487"/>
      <c r="FB564" s="1151"/>
      <c r="FC564" s="1151"/>
      <c r="FD564" s="1151"/>
      <c r="FE564" s="1151"/>
      <c r="FF564" s="1151"/>
      <c r="FG564" s="1151"/>
      <c r="FH564" s="1151"/>
      <c r="FI564" s="1151"/>
      <c r="FJ564" s="1151"/>
      <c r="FK564" s="1151"/>
      <c r="FL564" s="1151"/>
      <c r="FM564" s="1151"/>
      <c r="FN564" s="1151"/>
      <c r="FO564" s="1151"/>
      <c r="FP564" s="1151"/>
      <c r="FQ564" s="1151"/>
      <c r="FR564" s="1151"/>
      <c r="FS564" s="1151"/>
      <c r="FT564" s="1151"/>
      <c r="FU564" s="1151"/>
      <c r="FV564" s="1151"/>
      <c r="FW564" s="1151"/>
      <c r="FX564" s="1151"/>
      <c r="FY564" s="1488"/>
      <c r="FZ564" s="1488"/>
      <c r="GA564" s="1488"/>
      <c r="GB564" s="1485"/>
      <c r="GC564" s="1485"/>
      <c r="GD564" s="1485"/>
      <c r="GE564" s="1485"/>
      <c r="GF564" s="1485"/>
      <c r="GG564" s="1485"/>
      <c r="GH564" s="1485"/>
    </row>
    <row r="565" spans="144:190" s="1295" customFormat="1" x14ac:dyDescent="0.25">
      <c r="EN565" s="1485"/>
      <c r="EO565" s="1485"/>
      <c r="EP565" s="1485"/>
      <c r="EQ565" s="1485"/>
      <c r="ER565" s="1485"/>
      <c r="ES565" s="1485"/>
      <c r="ET565" s="1485"/>
      <c r="EU565" s="1485"/>
      <c r="EV565" s="1485"/>
      <c r="EW565" s="1485"/>
      <c r="EX565" s="1486"/>
      <c r="EY565" s="1486"/>
      <c r="EZ565" s="1487"/>
      <c r="FA565" s="1487"/>
      <c r="FB565" s="1151"/>
      <c r="FC565" s="1151"/>
      <c r="FD565" s="1151"/>
      <c r="FE565" s="1151"/>
      <c r="FF565" s="1151"/>
      <c r="FG565" s="1151"/>
      <c r="FH565" s="1151"/>
      <c r="FI565" s="1151"/>
      <c r="FJ565" s="1151"/>
      <c r="FK565" s="1151"/>
      <c r="FL565" s="1151"/>
      <c r="FM565" s="1151"/>
      <c r="FN565" s="1151"/>
      <c r="FO565" s="1151"/>
      <c r="FP565" s="1151"/>
      <c r="FQ565" s="1151"/>
      <c r="FR565" s="1151"/>
      <c r="FS565" s="1151"/>
      <c r="FT565" s="1151"/>
      <c r="FU565" s="1151"/>
      <c r="FV565" s="1151"/>
      <c r="FW565" s="1151"/>
      <c r="FX565" s="1151"/>
      <c r="FY565" s="1488"/>
      <c r="FZ565" s="1488"/>
      <c r="GA565" s="1488"/>
      <c r="GB565" s="1485"/>
      <c r="GC565" s="1485"/>
      <c r="GD565" s="1485"/>
      <c r="GE565" s="1485"/>
      <c r="GF565" s="1485"/>
      <c r="GG565" s="1485"/>
      <c r="GH565" s="1485"/>
    </row>
    <row r="566" spans="144:190" s="1295" customFormat="1" x14ac:dyDescent="0.25">
      <c r="EN566" s="1485"/>
      <c r="EO566" s="1485"/>
      <c r="EP566" s="1485"/>
      <c r="EQ566" s="1485"/>
      <c r="ER566" s="1485"/>
      <c r="ES566" s="1485"/>
      <c r="ET566" s="1485"/>
      <c r="EU566" s="1485"/>
      <c r="EV566" s="1485"/>
      <c r="EW566" s="1485"/>
      <c r="EX566" s="1486"/>
      <c r="EY566" s="1486"/>
      <c r="EZ566" s="1487"/>
      <c r="FA566" s="1487"/>
      <c r="FB566" s="1151"/>
      <c r="FC566" s="1151"/>
      <c r="FD566" s="1151"/>
      <c r="FE566" s="1151"/>
      <c r="FF566" s="1151"/>
      <c r="FG566" s="1151"/>
      <c r="FH566" s="1151"/>
      <c r="FI566" s="1151"/>
      <c r="FJ566" s="1151"/>
      <c r="FK566" s="1151"/>
      <c r="FL566" s="1151"/>
      <c r="FM566" s="1151"/>
      <c r="FN566" s="1151"/>
      <c r="FO566" s="1151"/>
      <c r="FP566" s="1151"/>
      <c r="FQ566" s="1151"/>
      <c r="FR566" s="1151"/>
      <c r="FS566" s="1151"/>
      <c r="FT566" s="1151"/>
      <c r="FU566" s="1151"/>
      <c r="FV566" s="1151"/>
      <c r="FW566" s="1151"/>
      <c r="FX566" s="1151"/>
      <c r="FY566" s="1488"/>
      <c r="FZ566" s="1488"/>
      <c r="GA566" s="1488"/>
      <c r="GB566" s="1485"/>
      <c r="GC566" s="1485"/>
      <c r="GD566" s="1485"/>
      <c r="GE566" s="1485"/>
      <c r="GF566" s="1485"/>
      <c r="GG566" s="1485"/>
      <c r="GH566" s="1485"/>
    </row>
    <row r="567" spans="144:190" s="1295" customFormat="1" x14ac:dyDescent="0.25">
      <c r="EN567" s="1485"/>
      <c r="EO567" s="1485"/>
      <c r="EP567" s="1485"/>
      <c r="EQ567" s="1485"/>
      <c r="ER567" s="1485"/>
      <c r="ES567" s="1485"/>
      <c r="ET567" s="1485"/>
      <c r="EU567" s="1485"/>
      <c r="EV567" s="1485"/>
      <c r="EW567" s="1485"/>
      <c r="EX567" s="1486"/>
      <c r="EY567" s="1486"/>
      <c r="EZ567" s="1487"/>
      <c r="FA567" s="1487"/>
      <c r="FB567" s="1151"/>
      <c r="FC567" s="1151"/>
      <c r="FD567" s="1151"/>
      <c r="FE567" s="1151"/>
      <c r="FF567" s="1151"/>
      <c r="FG567" s="1151"/>
      <c r="FH567" s="1151"/>
      <c r="FI567" s="1151"/>
      <c r="FJ567" s="1151"/>
      <c r="FK567" s="1151"/>
      <c r="FL567" s="1151"/>
      <c r="FM567" s="1151"/>
      <c r="FN567" s="1151"/>
      <c r="FO567" s="1151"/>
      <c r="FP567" s="1151"/>
      <c r="FQ567" s="1151"/>
      <c r="FR567" s="1151"/>
      <c r="FS567" s="1151"/>
      <c r="FT567" s="1151"/>
      <c r="FU567" s="1151"/>
      <c r="FV567" s="1151"/>
      <c r="FW567" s="1151"/>
      <c r="FX567" s="1151"/>
      <c r="FY567" s="1488"/>
      <c r="FZ567" s="1488"/>
      <c r="GA567" s="1488"/>
      <c r="GB567" s="1485"/>
      <c r="GC567" s="1485"/>
      <c r="GD567" s="1485"/>
      <c r="GE567" s="1485"/>
      <c r="GF567" s="1485"/>
      <c r="GG567" s="1485"/>
      <c r="GH567" s="1485"/>
    </row>
    <row r="568" spans="144:190" s="1295" customFormat="1" x14ac:dyDescent="0.25">
      <c r="EN568" s="1485"/>
      <c r="EO568" s="1485"/>
      <c r="EP568" s="1485"/>
      <c r="EQ568" s="1485"/>
      <c r="ER568" s="1485"/>
      <c r="ES568" s="1485"/>
      <c r="ET568" s="1485"/>
      <c r="EU568" s="1485"/>
      <c r="EV568" s="1485"/>
      <c r="EW568" s="1485"/>
      <c r="EX568" s="1486"/>
      <c r="EY568" s="1486"/>
      <c r="EZ568" s="1487"/>
      <c r="FA568" s="1487"/>
      <c r="FB568" s="1151"/>
      <c r="FC568" s="1151"/>
      <c r="FD568" s="1151"/>
      <c r="FE568" s="1151"/>
      <c r="FF568" s="1151"/>
      <c r="FG568" s="1151"/>
      <c r="FH568" s="1151"/>
      <c r="FI568" s="1151"/>
      <c r="FJ568" s="1151"/>
      <c r="FK568" s="1151"/>
      <c r="FL568" s="1151"/>
      <c r="FM568" s="1151"/>
      <c r="FN568" s="1151"/>
      <c r="FO568" s="1151"/>
      <c r="FP568" s="1151"/>
      <c r="FQ568" s="1151"/>
      <c r="FR568" s="1151"/>
      <c r="FS568" s="1151"/>
      <c r="FT568" s="1151"/>
      <c r="FU568" s="1151"/>
      <c r="FV568" s="1151"/>
      <c r="FW568" s="1151"/>
      <c r="FX568" s="1151"/>
      <c r="FY568" s="1488"/>
      <c r="FZ568" s="1488"/>
      <c r="GA568" s="1488"/>
      <c r="GB568" s="1485"/>
      <c r="GC568" s="1485"/>
      <c r="GD568" s="1485"/>
      <c r="GE568" s="1485"/>
      <c r="GF568" s="1485"/>
      <c r="GG568" s="1485"/>
      <c r="GH568" s="1485"/>
    </row>
    <row r="569" spans="144:190" s="1295" customFormat="1" x14ac:dyDescent="0.25">
      <c r="EN569" s="1485"/>
      <c r="EO569" s="1485"/>
      <c r="EP569" s="1485"/>
      <c r="EQ569" s="1485"/>
      <c r="ER569" s="1485"/>
      <c r="ES569" s="1485"/>
      <c r="ET569" s="1485"/>
      <c r="EU569" s="1485"/>
      <c r="EV569" s="1485"/>
      <c r="EW569" s="1485"/>
      <c r="EX569" s="1486"/>
      <c r="EY569" s="1486"/>
      <c r="EZ569" s="1487"/>
      <c r="FA569" s="1487"/>
      <c r="FB569" s="1151"/>
      <c r="FC569" s="1151"/>
      <c r="FD569" s="1151"/>
      <c r="FE569" s="1151"/>
      <c r="FF569" s="1151"/>
      <c r="FG569" s="1151"/>
      <c r="FH569" s="1151"/>
      <c r="FI569" s="1151"/>
      <c r="FJ569" s="1151"/>
      <c r="FK569" s="1151"/>
      <c r="FL569" s="1151"/>
      <c r="FM569" s="1151"/>
      <c r="FN569" s="1151"/>
      <c r="FO569" s="1151"/>
      <c r="FP569" s="1151"/>
      <c r="FQ569" s="1151"/>
      <c r="FR569" s="1151"/>
      <c r="FS569" s="1151"/>
      <c r="FT569" s="1151"/>
      <c r="FU569" s="1151"/>
      <c r="FV569" s="1151"/>
      <c r="FW569" s="1151"/>
      <c r="FX569" s="1151"/>
      <c r="FY569" s="1488"/>
      <c r="FZ569" s="1488"/>
      <c r="GA569" s="1488"/>
      <c r="GB569" s="1485"/>
      <c r="GC569" s="1485"/>
      <c r="GD569" s="1485"/>
      <c r="GE569" s="1485"/>
      <c r="GF569" s="1485"/>
      <c r="GG569" s="1485"/>
      <c r="GH569" s="1485"/>
    </row>
    <row r="570" spans="144:190" s="1295" customFormat="1" x14ac:dyDescent="0.25">
      <c r="EN570" s="1485"/>
      <c r="EO570" s="1485"/>
      <c r="EP570" s="1485"/>
      <c r="EQ570" s="1485"/>
      <c r="ER570" s="1485"/>
      <c r="ES570" s="1485"/>
      <c r="ET570" s="1485"/>
      <c r="EU570" s="1485"/>
      <c r="EV570" s="1485"/>
      <c r="EW570" s="1485"/>
      <c r="EX570" s="1486"/>
      <c r="EY570" s="1486"/>
      <c r="EZ570" s="1487"/>
      <c r="FA570" s="1487"/>
      <c r="FB570" s="1151"/>
      <c r="FC570" s="1151"/>
      <c r="FD570" s="1151"/>
      <c r="FE570" s="1151"/>
      <c r="FF570" s="1151"/>
      <c r="FG570" s="1151"/>
      <c r="FH570" s="1151"/>
      <c r="FI570" s="1151"/>
      <c r="FJ570" s="1151"/>
      <c r="FK570" s="1151"/>
      <c r="FL570" s="1151"/>
      <c r="FM570" s="1151"/>
      <c r="FN570" s="1151"/>
      <c r="FO570" s="1151"/>
      <c r="FP570" s="1151"/>
      <c r="FQ570" s="1151"/>
      <c r="FR570" s="1151"/>
      <c r="FS570" s="1151"/>
      <c r="FT570" s="1151"/>
      <c r="FU570" s="1151"/>
      <c r="FV570" s="1151"/>
      <c r="FW570" s="1151"/>
      <c r="FX570" s="1151"/>
      <c r="FY570" s="1488"/>
      <c r="FZ570" s="1488"/>
      <c r="GA570" s="1488"/>
      <c r="GB570" s="1485"/>
      <c r="GC570" s="1485"/>
      <c r="GD570" s="1485"/>
      <c r="GE570" s="1485"/>
      <c r="GF570" s="1485"/>
      <c r="GG570" s="1485"/>
      <c r="GH570" s="1485"/>
    </row>
    <row r="571" spans="144:190" s="1295" customFormat="1" x14ac:dyDescent="0.25">
      <c r="EN571" s="1485"/>
      <c r="EO571" s="1485"/>
      <c r="EP571" s="1485"/>
      <c r="EQ571" s="1485"/>
      <c r="ER571" s="1485"/>
      <c r="ES571" s="1485"/>
      <c r="ET571" s="1485"/>
      <c r="EU571" s="1485"/>
      <c r="EV571" s="1485"/>
      <c r="EW571" s="1485"/>
      <c r="EX571" s="1486"/>
      <c r="EY571" s="1486"/>
      <c r="EZ571" s="1487"/>
      <c r="FA571" s="1487"/>
      <c r="FB571" s="1151"/>
      <c r="FC571" s="1151"/>
      <c r="FD571" s="1151"/>
      <c r="FE571" s="1151"/>
      <c r="FF571" s="1151"/>
      <c r="FG571" s="1151"/>
      <c r="FH571" s="1151"/>
      <c r="FI571" s="1151"/>
      <c r="FJ571" s="1151"/>
      <c r="FK571" s="1151"/>
      <c r="FL571" s="1151"/>
      <c r="FM571" s="1151"/>
      <c r="FN571" s="1151"/>
      <c r="FO571" s="1151"/>
      <c r="FP571" s="1151"/>
      <c r="FQ571" s="1151"/>
      <c r="FR571" s="1151"/>
      <c r="FS571" s="1151"/>
      <c r="FT571" s="1151"/>
      <c r="FU571" s="1151"/>
      <c r="FV571" s="1151"/>
      <c r="FW571" s="1151"/>
      <c r="FX571" s="1151"/>
      <c r="FY571" s="1488"/>
      <c r="FZ571" s="1488"/>
      <c r="GA571" s="1488"/>
      <c r="GB571" s="1485"/>
      <c r="GC571" s="1485"/>
      <c r="GD571" s="1485"/>
      <c r="GE571" s="1485"/>
      <c r="GF571" s="1485"/>
      <c r="GG571" s="1485"/>
      <c r="GH571" s="1485"/>
    </row>
    <row r="572" spans="144:190" s="1295" customFormat="1" x14ac:dyDescent="0.25">
      <c r="EN572" s="1485"/>
      <c r="EO572" s="1485"/>
      <c r="EP572" s="1485"/>
      <c r="EQ572" s="1485"/>
      <c r="ER572" s="1485"/>
      <c r="ES572" s="1485"/>
      <c r="ET572" s="1485"/>
      <c r="EU572" s="1485"/>
      <c r="EV572" s="1485"/>
      <c r="EW572" s="1485"/>
      <c r="EX572" s="1486"/>
      <c r="EY572" s="1486"/>
      <c r="EZ572" s="1487"/>
      <c r="FA572" s="1487"/>
      <c r="FB572" s="1151"/>
      <c r="FC572" s="1151"/>
      <c r="FD572" s="1151"/>
      <c r="FE572" s="1151"/>
      <c r="FF572" s="1151"/>
      <c r="FG572" s="1151"/>
      <c r="FH572" s="1151"/>
      <c r="FI572" s="1151"/>
      <c r="FJ572" s="1151"/>
      <c r="FK572" s="1151"/>
      <c r="FL572" s="1151"/>
      <c r="FM572" s="1151"/>
      <c r="FN572" s="1151"/>
      <c r="FO572" s="1151"/>
      <c r="FP572" s="1151"/>
      <c r="FQ572" s="1151"/>
      <c r="FR572" s="1151"/>
      <c r="FS572" s="1151"/>
      <c r="FT572" s="1151"/>
      <c r="FU572" s="1151"/>
      <c r="FV572" s="1151"/>
      <c r="FW572" s="1151"/>
      <c r="FX572" s="1151"/>
      <c r="FY572" s="1488"/>
      <c r="FZ572" s="1488"/>
      <c r="GA572" s="1488"/>
      <c r="GB572" s="1485"/>
      <c r="GC572" s="1485"/>
      <c r="GD572" s="1485"/>
      <c r="GE572" s="1485"/>
      <c r="GF572" s="1485"/>
      <c r="GG572" s="1485"/>
      <c r="GH572" s="1485"/>
    </row>
    <row r="573" spans="144:190" s="1295" customFormat="1" x14ac:dyDescent="0.25">
      <c r="EN573" s="1485"/>
      <c r="EO573" s="1485"/>
      <c r="EP573" s="1485"/>
      <c r="EQ573" s="1485"/>
      <c r="ER573" s="1485"/>
      <c r="ES573" s="1485"/>
      <c r="ET573" s="1485"/>
      <c r="EU573" s="1485"/>
      <c r="EV573" s="1485"/>
      <c r="EW573" s="1485"/>
      <c r="EX573" s="1486"/>
      <c r="EY573" s="1486"/>
      <c r="EZ573" s="1487"/>
      <c r="FA573" s="1487"/>
      <c r="FB573" s="1151"/>
      <c r="FC573" s="1151"/>
      <c r="FD573" s="1151"/>
      <c r="FE573" s="1151"/>
      <c r="FF573" s="1151"/>
      <c r="FG573" s="1151"/>
      <c r="FH573" s="1151"/>
      <c r="FI573" s="1151"/>
      <c r="FJ573" s="1151"/>
      <c r="FK573" s="1151"/>
      <c r="FL573" s="1151"/>
      <c r="FM573" s="1151"/>
      <c r="FN573" s="1151"/>
      <c r="FO573" s="1151"/>
      <c r="FP573" s="1151"/>
      <c r="FQ573" s="1151"/>
      <c r="FR573" s="1151"/>
      <c r="FS573" s="1151"/>
      <c r="FT573" s="1151"/>
      <c r="FU573" s="1151"/>
      <c r="FV573" s="1151"/>
      <c r="FW573" s="1151"/>
      <c r="FX573" s="1151"/>
      <c r="FY573" s="1488"/>
      <c r="FZ573" s="1488"/>
      <c r="GA573" s="1488"/>
      <c r="GB573" s="1485"/>
      <c r="GC573" s="1485"/>
      <c r="GD573" s="1485"/>
      <c r="GE573" s="1485"/>
      <c r="GF573" s="1485"/>
      <c r="GG573" s="1485"/>
      <c r="GH573" s="1485"/>
    </row>
    <row r="574" spans="144:190" s="1295" customFormat="1" x14ac:dyDescent="0.25">
      <c r="EN574" s="1485"/>
      <c r="EO574" s="1485"/>
      <c r="EP574" s="1485"/>
      <c r="EQ574" s="1485"/>
      <c r="ER574" s="1485"/>
      <c r="ES574" s="1485"/>
      <c r="ET574" s="1485"/>
      <c r="EU574" s="1485"/>
      <c r="EV574" s="1485"/>
      <c r="EW574" s="1485"/>
      <c r="EX574" s="1486"/>
      <c r="EY574" s="1486"/>
      <c r="EZ574" s="1487"/>
      <c r="FA574" s="1487"/>
      <c r="FB574" s="1151"/>
      <c r="FC574" s="1151"/>
      <c r="FD574" s="1151"/>
      <c r="FE574" s="1151"/>
      <c r="FF574" s="1151"/>
      <c r="FG574" s="1151"/>
      <c r="FH574" s="1151"/>
      <c r="FI574" s="1151"/>
      <c r="FJ574" s="1151"/>
      <c r="FK574" s="1151"/>
      <c r="FL574" s="1151"/>
      <c r="FM574" s="1151"/>
      <c r="FN574" s="1151"/>
      <c r="FO574" s="1151"/>
      <c r="FP574" s="1151"/>
      <c r="FQ574" s="1151"/>
      <c r="FR574" s="1151"/>
      <c r="FS574" s="1151"/>
      <c r="FT574" s="1151"/>
      <c r="FU574" s="1151"/>
      <c r="FV574" s="1151"/>
      <c r="FW574" s="1151"/>
      <c r="FX574" s="1151"/>
      <c r="FY574" s="1488"/>
      <c r="FZ574" s="1488"/>
      <c r="GA574" s="1488"/>
      <c r="GB574" s="1485"/>
      <c r="GC574" s="1485"/>
      <c r="GD574" s="1485"/>
      <c r="GE574" s="1485"/>
      <c r="GF574" s="1485"/>
      <c r="GG574" s="1485"/>
      <c r="GH574" s="1485"/>
    </row>
    <row r="575" spans="144:190" s="1295" customFormat="1" x14ac:dyDescent="0.25">
      <c r="EN575" s="1485"/>
      <c r="EO575" s="1485"/>
      <c r="EP575" s="1485"/>
      <c r="EQ575" s="1485"/>
      <c r="ER575" s="1485"/>
      <c r="ES575" s="1485"/>
      <c r="ET575" s="1485"/>
      <c r="EU575" s="1485"/>
      <c r="EV575" s="1485"/>
      <c r="EW575" s="1485"/>
      <c r="EX575" s="1486"/>
      <c r="EY575" s="1486"/>
      <c r="EZ575" s="1487"/>
      <c r="FA575" s="1487"/>
      <c r="FB575" s="1151"/>
      <c r="FC575" s="1151"/>
      <c r="FD575" s="1151"/>
      <c r="FE575" s="1151"/>
      <c r="FF575" s="1151"/>
      <c r="FG575" s="1151"/>
      <c r="FH575" s="1151"/>
      <c r="FI575" s="1151"/>
      <c r="FJ575" s="1151"/>
      <c r="FK575" s="1151"/>
      <c r="FL575" s="1151"/>
      <c r="FM575" s="1151"/>
      <c r="FN575" s="1151"/>
      <c r="FO575" s="1151"/>
      <c r="FP575" s="1151"/>
      <c r="FQ575" s="1151"/>
      <c r="FR575" s="1151"/>
      <c r="FS575" s="1151"/>
      <c r="FT575" s="1151"/>
      <c r="FU575" s="1151"/>
      <c r="FV575" s="1151"/>
      <c r="FW575" s="1151"/>
      <c r="FX575" s="1151"/>
      <c r="FY575" s="1488"/>
      <c r="FZ575" s="1488"/>
      <c r="GA575" s="1488"/>
      <c r="GB575" s="1485"/>
      <c r="GC575" s="1485"/>
      <c r="GD575" s="1485"/>
      <c r="GE575" s="1485"/>
      <c r="GF575" s="1485"/>
      <c r="GG575" s="1485"/>
      <c r="GH575" s="1485"/>
    </row>
    <row r="576" spans="144:190" s="1295" customFormat="1" x14ac:dyDescent="0.25">
      <c r="EN576" s="1485"/>
      <c r="EO576" s="1485"/>
      <c r="EP576" s="1485"/>
      <c r="EQ576" s="1485"/>
      <c r="ER576" s="1485"/>
      <c r="ES576" s="1485"/>
      <c r="ET576" s="1485"/>
      <c r="EU576" s="1485"/>
      <c r="EV576" s="1485"/>
      <c r="EW576" s="1485"/>
      <c r="EX576" s="1486"/>
      <c r="EY576" s="1486"/>
      <c r="EZ576" s="1487"/>
      <c r="FA576" s="1487"/>
      <c r="FB576" s="1151"/>
      <c r="FC576" s="1151"/>
      <c r="FD576" s="1151"/>
      <c r="FE576" s="1151"/>
      <c r="FF576" s="1151"/>
      <c r="FG576" s="1151"/>
      <c r="FH576" s="1151"/>
      <c r="FI576" s="1151"/>
      <c r="FJ576" s="1151"/>
      <c r="FK576" s="1151"/>
      <c r="FL576" s="1151"/>
      <c r="FM576" s="1151"/>
      <c r="FN576" s="1151"/>
      <c r="FO576" s="1151"/>
      <c r="FP576" s="1151"/>
      <c r="FQ576" s="1151"/>
      <c r="FR576" s="1151"/>
      <c r="FS576" s="1151"/>
      <c r="FT576" s="1151"/>
      <c r="FU576" s="1151"/>
      <c r="FV576" s="1151"/>
      <c r="FW576" s="1151"/>
      <c r="FX576" s="1151"/>
      <c r="FY576" s="1488"/>
      <c r="FZ576" s="1488"/>
      <c r="GA576" s="1488"/>
      <c r="GB576" s="1485"/>
      <c r="GC576" s="1485"/>
      <c r="GD576" s="1485"/>
      <c r="GE576" s="1485"/>
      <c r="GF576" s="1485"/>
      <c r="GG576" s="1485"/>
      <c r="GH576" s="1485"/>
    </row>
    <row r="577" spans="144:190" s="1295" customFormat="1" x14ac:dyDescent="0.25">
      <c r="EN577" s="1485"/>
      <c r="EO577" s="1485"/>
      <c r="EP577" s="1485"/>
      <c r="EQ577" s="1485"/>
      <c r="ER577" s="1485"/>
      <c r="ES577" s="1485"/>
      <c r="ET577" s="1485"/>
      <c r="EU577" s="1485"/>
      <c r="EV577" s="1485"/>
      <c r="EW577" s="1485"/>
      <c r="EX577" s="1486"/>
      <c r="EY577" s="1486"/>
      <c r="EZ577" s="1487"/>
      <c r="FA577" s="1487"/>
      <c r="FB577" s="1151"/>
      <c r="FC577" s="1151"/>
      <c r="FD577" s="1151"/>
      <c r="FE577" s="1151"/>
      <c r="FF577" s="1151"/>
      <c r="FG577" s="1151"/>
      <c r="FH577" s="1151"/>
      <c r="FI577" s="1151"/>
      <c r="FJ577" s="1151"/>
      <c r="FK577" s="1151"/>
      <c r="FL577" s="1151"/>
      <c r="FM577" s="1151"/>
      <c r="FN577" s="1151"/>
      <c r="FO577" s="1151"/>
      <c r="FP577" s="1151"/>
      <c r="FQ577" s="1151"/>
      <c r="FR577" s="1151"/>
      <c r="FS577" s="1151"/>
      <c r="FT577" s="1151"/>
      <c r="FU577" s="1151"/>
      <c r="FV577" s="1151"/>
      <c r="FW577" s="1151"/>
      <c r="FX577" s="1151"/>
      <c r="FY577" s="1488"/>
      <c r="FZ577" s="1488"/>
      <c r="GA577" s="1488"/>
      <c r="GB577" s="1485"/>
      <c r="GC577" s="1485"/>
      <c r="GD577" s="1485"/>
      <c r="GE577" s="1485"/>
      <c r="GF577" s="1485"/>
      <c r="GG577" s="1485"/>
      <c r="GH577" s="1485"/>
    </row>
    <row r="578" spans="144:190" s="1295" customFormat="1" x14ac:dyDescent="0.25">
      <c r="EN578" s="1485"/>
      <c r="EO578" s="1485"/>
      <c r="EP578" s="1485"/>
      <c r="EQ578" s="1485"/>
      <c r="ER578" s="1485"/>
      <c r="ES578" s="1485"/>
      <c r="ET578" s="1485"/>
      <c r="EU578" s="1485"/>
      <c r="EV578" s="1485"/>
      <c r="EW578" s="1485"/>
      <c r="EX578" s="1486"/>
      <c r="EY578" s="1486"/>
      <c r="EZ578" s="1487"/>
      <c r="FA578" s="1487"/>
      <c r="FB578" s="1151"/>
      <c r="FC578" s="1151"/>
      <c r="FD578" s="1151"/>
      <c r="FE578" s="1151"/>
      <c r="FF578" s="1151"/>
      <c r="FG578" s="1151"/>
      <c r="FH578" s="1151"/>
      <c r="FI578" s="1151"/>
      <c r="FJ578" s="1151"/>
      <c r="FK578" s="1151"/>
      <c r="FL578" s="1151"/>
      <c r="FM578" s="1151"/>
      <c r="FN578" s="1151"/>
      <c r="FO578" s="1151"/>
      <c r="FP578" s="1151"/>
      <c r="FQ578" s="1151"/>
      <c r="FR578" s="1151"/>
      <c r="FS578" s="1151"/>
      <c r="FT578" s="1151"/>
      <c r="FU578" s="1151"/>
      <c r="FV578" s="1151"/>
      <c r="FW578" s="1151"/>
      <c r="FX578" s="1151"/>
      <c r="FY578" s="1488"/>
      <c r="FZ578" s="1488"/>
      <c r="GA578" s="1488"/>
      <c r="GB578" s="1485"/>
      <c r="GC578" s="1485"/>
      <c r="GD578" s="1485"/>
      <c r="GE578" s="1485"/>
      <c r="GF578" s="1485"/>
      <c r="GG578" s="1485"/>
      <c r="GH578" s="1485"/>
    </row>
    <row r="579" spans="144:190" s="1295" customFormat="1" x14ac:dyDescent="0.25">
      <c r="EN579" s="1485"/>
      <c r="EO579" s="1485"/>
      <c r="EP579" s="1485"/>
      <c r="EQ579" s="1485"/>
      <c r="ER579" s="1485"/>
      <c r="ES579" s="1485"/>
      <c r="ET579" s="1485"/>
      <c r="EU579" s="1485"/>
      <c r="EV579" s="1485"/>
      <c r="EW579" s="1485"/>
      <c r="EX579" s="1486"/>
      <c r="EY579" s="1486"/>
      <c r="EZ579" s="1487"/>
      <c r="FA579" s="1487"/>
      <c r="FB579" s="1151"/>
      <c r="FC579" s="1151"/>
      <c r="FD579" s="1151"/>
      <c r="FE579" s="1151"/>
      <c r="FF579" s="1151"/>
      <c r="FG579" s="1151"/>
      <c r="FH579" s="1151"/>
      <c r="FI579" s="1151"/>
      <c r="FJ579" s="1151"/>
      <c r="FK579" s="1151"/>
      <c r="FL579" s="1151"/>
      <c r="FM579" s="1151"/>
      <c r="FN579" s="1151"/>
      <c r="FO579" s="1151"/>
      <c r="FP579" s="1151"/>
      <c r="FQ579" s="1151"/>
      <c r="FR579" s="1151"/>
      <c r="FS579" s="1151"/>
      <c r="FT579" s="1151"/>
      <c r="FU579" s="1151"/>
      <c r="FV579" s="1151"/>
      <c r="FW579" s="1151"/>
      <c r="FX579" s="1151"/>
      <c r="FY579" s="1488"/>
      <c r="FZ579" s="1488"/>
      <c r="GA579" s="1488"/>
      <c r="GB579" s="1485"/>
      <c r="GC579" s="1485"/>
      <c r="GD579" s="1485"/>
      <c r="GE579" s="1485"/>
      <c r="GF579" s="1485"/>
      <c r="GG579" s="1485"/>
      <c r="GH579" s="1485"/>
    </row>
    <row r="580" spans="144:190" s="1295" customFormat="1" x14ac:dyDescent="0.25">
      <c r="EN580" s="1485"/>
      <c r="EO580" s="1485"/>
      <c r="EP580" s="1485"/>
      <c r="EQ580" s="1485"/>
      <c r="ER580" s="1485"/>
      <c r="ES580" s="1485"/>
      <c r="ET580" s="1485"/>
      <c r="EU580" s="1485"/>
      <c r="EV580" s="1485"/>
      <c r="EW580" s="1485"/>
      <c r="EX580" s="1486"/>
      <c r="EY580" s="1486"/>
      <c r="EZ580" s="1487"/>
      <c r="FA580" s="1487"/>
      <c r="FB580" s="1151"/>
      <c r="FC580" s="1151"/>
      <c r="FD580" s="1151"/>
      <c r="FE580" s="1151"/>
      <c r="FF580" s="1151"/>
      <c r="FG580" s="1151"/>
      <c r="FH580" s="1151"/>
      <c r="FI580" s="1151"/>
      <c r="FJ580" s="1151"/>
      <c r="FK580" s="1151"/>
      <c r="FL580" s="1151"/>
      <c r="FM580" s="1151"/>
      <c r="FN580" s="1151"/>
      <c r="FO580" s="1151"/>
      <c r="FP580" s="1151"/>
      <c r="FQ580" s="1151"/>
      <c r="FR580" s="1151"/>
      <c r="FS580" s="1151"/>
      <c r="FT580" s="1151"/>
      <c r="FU580" s="1151"/>
      <c r="FV580" s="1151"/>
      <c r="FW580" s="1151"/>
      <c r="FX580" s="1151"/>
      <c r="FY580" s="1488"/>
      <c r="FZ580" s="1488"/>
      <c r="GA580" s="1488"/>
      <c r="GB580" s="1485"/>
      <c r="GC580" s="1485"/>
      <c r="GD580" s="1485"/>
      <c r="GE580" s="1485"/>
      <c r="GF580" s="1485"/>
      <c r="GG580" s="1485"/>
      <c r="GH580" s="1485"/>
    </row>
    <row r="581" spans="144:190" s="1295" customFormat="1" x14ac:dyDescent="0.25">
      <c r="EN581" s="1485"/>
      <c r="EO581" s="1485"/>
      <c r="EP581" s="1485"/>
      <c r="EQ581" s="1485"/>
      <c r="ER581" s="1485"/>
      <c r="ES581" s="1485"/>
      <c r="ET581" s="1485"/>
      <c r="EU581" s="1485"/>
      <c r="EV581" s="1485"/>
      <c r="EW581" s="1485"/>
      <c r="EX581" s="1486"/>
      <c r="EY581" s="1486"/>
      <c r="EZ581" s="1487"/>
      <c r="FA581" s="1487"/>
      <c r="FB581" s="1151"/>
      <c r="FC581" s="1151"/>
      <c r="FD581" s="1151"/>
      <c r="FE581" s="1151"/>
      <c r="FF581" s="1151"/>
      <c r="FG581" s="1151"/>
      <c r="FH581" s="1151"/>
      <c r="FI581" s="1151"/>
      <c r="FJ581" s="1151"/>
      <c r="FK581" s="1151"/>
      <c r="FL581" s="1151"/>
      <c r="FM581" s="1151"/>
      <c r="FN581" s="1151"/>
      <c r="FO581" s="1151"/>
      <c r="FP581" s="1151"/>
      <c r="FQ581" s="1151"/>
      <c r="FR581" s="1151"/>
      <c r="FS581" s="1151"/>
      <c r="FT581" s="1151"/>
      <c r="FU581" s="1151"/>
      <c r="FV581" s="1151"/>
      <c r="FW581" s="1151"/>
      <c r="FX581" s="1151"/>
      <c r="FY581" s="1488"/>
      <c r="FZ581" s="1488"/>
      <c r="GA581" s="1488"/>
      <c r="GB581" s="1485"/>
      <c r="GC581" s="1485"/>
      <c r="GD581" s="1485"/>
      <c r="GE581" s="1485"/>
      <c r="GF581" s="1485"/>
      <c r="GG581" s="1485"/>
      <c r="GH581" s="1485"/>
    </row>
    <row r="582" spans="144:190" s="1295" customFormat="1" x14ac:dyDescent="0.25">
      <c r="EN582" s="1485"/>
      <c r="EO582" s="1485"/>
      <c r="EP582" s="1485"/>
      <c r="EQ582" s="1485"/>
      <c r="ER582" s="1485"/>
      <c r="ES582" s="1485"/>
      <c r="ET582" s="1485"/>
      <c r="EU582" s="1485"/>
      <c r="EV582" s="1485"/>
      <c r="EW582" s="1485"/>
      <c r="EX582" s="1486"/>
      <c r="EY582" s="1486"/>
      <c r="EZ582" s="1487"/>
      <c r="FA582" s="1487"/>
      <c r="FB582" s="1151"/>
      <c r="FC582" s="1151"/>
      <c r="FD582" s="1151"/>
      <c r="FE582" s="1151"/>
      <c r="FF582" s="1151"/>
      <c r="FG582" s="1151"/>
      <c r="FH582" s="1151"/>
      <c r="FI582" s="1151"/>
      <c r="FJ582" s="1151"/>
      <c r="FK582" s="1151"/>
      <c r="FL582" s="1151"/>
      <c r="FM582" s="1151"/>
      <c r="FN582" s="1151"/>
      <c r="FO582" s="1151"/>
      <c r="FP582" s="1151"/>
      <c r="FQ582" s="1151"/>
      <c r="FR582" s="1151"/>
      <c r="FS582" s="1151"/>
      <c r="FT582" s="1151"/>
      <c r="FU582" s="1151"/>
      <c r="FV582" s="1151"/>
      <c r="FW582" s="1151"/>
      <c r="FX582" s="1151"/>
      <c r="FY582" s="1488"/>
      <c r="FZ582" s="1488"/>
      <c r="GA582" s="1488"/>
      <c r="GB582" s="1485"/>
      <c r="GC582" s="1485"/>
      <c r="GD582" s="1485"/>
      <c r="GE582" s="1485"/>
      <c r="GF582" s="1485"/>
      <c r="GG582" s="1485"/>
      <c r="GH582" s="1485"/>
    </row>
    <row r="583" spans="144:190" s="1295" customFormat="1" x14ac:dyDescent="0.25">
      <c r="EN583" s="1485"/>
      <c r="EO583" s="1485"/>
      <c r="EP583" s="1485"/>
      <c r="EQ583" s="1485"/>
      <c r="ER583" s="1485"/>
      <c r="ES583" s="1485"/>
      <c r="ET583" s="1485"/>
      <c r="EU583" s="1485"/>
      <c r="EV583" s="1485"/>
      <c r="EW583" s="1485"/>
      <c r="EX583" s="1486"/>
      <c r="EY583" s="1486"/>
      <c r="EZ583" s="1487"/>
      <c r="FA583" s="1487"/>
      <c r="FB583" s="1151"/>
      <c r="FC583" s="1151"/>
      <c r="FD583" s="1151"/>
      <c r="FE583" s="1151"/>
      <c r="FF583" s="1151"/>
      <c r="FG583" s="1151"/>
      <c r="FH583" s="1151"/>
      <c r="FI583" s="1151"/>
      <c r="FJ583" s="1151"/>
      <c r="FK583" s="1151"/>
      <c r="FL583" s="1151"/>
      <c r="FM583" s="1151"/>
      <c r="FN583" s="1151"/>
      <c r="FO583" s="1151"/>
      <c r="FP583" s="1151"/>
      <c r="FQ583" s="1151"/>
      <c r="FR583" s="1151"/>
      <c r="FS583" s="1151"/>
      <c r="FT583" s="1151"/>
      <c r="FU583" s="1151"/>
      <c r="FV583" s="1151"/>
      <c r="FW583" s="1151"/>
      <c r="FX583" s="1151"/>
      <c r="FY583" s="1488"/>
      <c r="FZ583" s="1488"/>
      <c r="GA583" s="1488"/>
      <c r="GB583" s="1485"/>
      <c r="GC583" s="1485"/>
      <c r="GD583" s="1485"/>
      <c r="GE583" s="1485"/>
      <c r="GF583" s="1485"/>
      <c r="GG583" s="1485"/>
      <c r="GH583" s="1485"/>
    </row>
    <row r="584" spans="144:190" s="1295" customFormat="1" x14ac:dyDescent="0.25">
      <c r="EN584" s="1485"/>
      <c r="EO584" s="1485"/>
      <c r="EP584" s="1485"/>
      <c r="EQ584" s="1485"/>
      <c r="ER584" s="1485"/>
      <c r="ES584" s="1485"/>
      <c r="ET584" s="1485"/>
      <c r="EU584" s="1485"/>
      <c r="EV584" s="1485"/>
      <c r="EW584" s="1485"/>
      <c r="EX584" s="1486"/>
      <c r="EY584" s="1486"/>
      <c r="EZ584" s="1487"/>
      <c r="FA584" s="1487"/>
      <c r="FB584" s="1151"/>
      <c r="FC584" s="1151"/>
      <c r="FD584" s="1151"/>
      <c r="FE584" s="1151"/>
      <c r="FF584" s="1151"/>
      <c r="FG584" s="1151"/>
      <c r="FH584" s="1151"/>
      <c r="FI584" s="1151"/>
      <c r="FJ584" s="1151"/>
      <c r="FK584" s="1151"/>
      <c r="FL584" s="1151"/>
      <c r="FM584" s="1151"/>
      <c r="FN584" s="1151"/>
      <c r="FO584" s="1151"/>
      <c r="FP584" s="1151"/>
      <c r="FQ584" s="1151"/>
      <c r="FR584" s="1151"/>
      <c r="FS584" s="1151"/>
      <c r="FT584" s="1151"/>
      <c r="FU584" s="1151"/>
      <c r="FV584" s="1151"/>
      <c r="FW584" s="1151"/>
      <c r="FX584" s="1151"/>
      <c r="FY584" s="1488"/>
      <c r="FZ584" s="1488"/>
      <c r="GA584" s="1488"/>
      <c r="GB584" s="1485"/>
      <c r="GC584" s="1485"/>
      <c r="GD584" s="1485"/>
      <c r="GE584" s="1485"/>
      <c r="GF584" s="1485"/>
      <c r="GG584" s="1485"/>
      <c r="GH584" s="1485"/>
    </row>
    <row r="585" spans="144:190" s="1295" customFormat="1" x14ac:dyDescent="0.25">
      <c r="EN585" s="1485"/>
      <c r="EO585" s="1485"/>
      <c r="EP585" s="1485"/>
      <c r="EQ585" s="1485"/>
      <c r="ER585" s="1485"/>
      <c r="ES585" s="1485"/>
      <c r="ET585" s="1485"/>
      <c r="EU585" s="1485"/>
      <c r="EV585" s="1485"/>
      <c r="EW585" s="1485"/>
      <c r="EX585" s="1486"/>
      <c r="EY585" s="1486"/>
      <c r="EZ585" s="1487"/>
      <c r="FA585" s="1487"/>
      <c r="FB585" s="1151"/>
      <c r="FC585" s="1151"/>
      <c r="FD585" s="1151"/>
      <c r="FE585" s="1151"/>
      <c r="FF585" s="1151"/>
      <c r="FG585" s="1151"/>
      <c r="FH585" s="1151"/>
      <c r="FI585" s="1151"/>
      <c r="FJ585" s="1151"/>
      <c r="FK585" s="1151"/>
      <c r="FL585" s="1151"/>
      <c r="FM585" s="1151"/>
      <c r="FN585" s="1151"/>
      <c r="FO585" s="1151"/>
      <c r="FP585" s="1151"/>
      <c r="FQ585" s="1151"/>
      <c r="FR585" s="1151"/>
      <c r="FS585" s="1151"/>
      <c r="FT585" s="1151"/>
      <c r="FU585" s="1151"/>
      <c r="FV585" s="1151"/>
      <c r="FW585" s="1151"/>
      <c r="FX585" s="1151"/>
      <c r="FY585" s="1488"/>
      <c r="FZ585" s="1488"/>
      <c r="GA585" s="1488"/>
      <c r="GB585" s="1485"/>
      <c r="GC585" s="1485"/>
      <c r="GD585" s="1485"/>
      <c r="GE585" s="1485"/>
      <c r="GF585" s="1485"/>
      <c r="GG585" s="1485"/>
      <c r="GH585" s="1485"/>
    </row>
    <row r="586" spans="144:190" s="1295" customFormat="1" x14ac:dyDescent="0.25">
      <c r="EN586" s="1485"/>
      <c r="EO586" s="1485"/>
      <c r="EP586" s="1485"/>
      <c r="EQ586" s="1485"/>
      <c r="ER586" s="1485"/>
      <c r="ES586" s="1485"/>
      <c r="ET586" s="1485"/>
      <c r="EU586" s="1485"/>
      <c r="EV586" s="1485"/>
      <c r="EW586" s="1485"/>
      <c r="EX586" s="1486"/>
      <c r="EY586" s="1486"/>
      <c r="EZ586" s="1487"/>
      <c r="FA586" s="1487"/>
      <c r="FB586" s="1151"/>
      <c r="FC586" s="1151"/>
      <c r="FD586" s="1151"/>
      <c r="FE586" s="1151"/>
      <c r="FF586" s="1151"/>
      <c r="FG586" s="1151"/>
      <c r="FH586" s="1151"/>
      <c r="FI586" s="1151"/>
      <c r="FJ586" s="1151"/>
      <c r="FK586" s="1151"/>
      <c r="FL586" s="1151"/>
      <c r="FM586" s="1151"/>
      <c r="FN586" s="1151"/>
      <c r="FO586" s="1151"/>
      <c r="FP586" s="1151"/>
      <c r="FQ586" s="1151"/>
      <c r="FR586" s="1151"/>
      <c r="FS586" s="1151"/>
      <c r="FT586" s="1151"/>
      <c r="FU586" s="1151"/>
      <c r="FV586" s="1151"/>
      <c r="FW586" s="1151"/>
      <c r="FX586" s="1151"/>
      <c r="FY586" s="1488"/>
      <c r="FZ586" s="1488"/>
      <c r="GA586" s="1488"/>
      <c r="GB586" s="1485"/>
      <c r="GC586" s="1485"/>
      <c r="GD586" s="1485"/>
      <c r="GE586" s="1485"/>
      <c r="GF586" s="1485"/>
      <c r="GG586" s="1485"/>
      <c r="GH586" s="1485"/>
    </row>
    <row r="587" spans="144:190" s="1295" customFormat="1" x14ac:dyDescent="0.25">
      <c r="EN587" s="1485"/>
      <c r="EO587" s="1485"/>
      <c r="EP587" s="1485"/>
      <c r="EQ587" s="1485"/>
      <c r="ER587" s="1485"/>
      <c r="ES587" s="1485"/>
      <c r="ET587" s="1485"/>
      <c r="EU587" s="1485"/>
      <c r="EV587" s="1485"/>
      <c r="EW587" s="1485"/>
      <c r="EX587" s="1486"/>
      <c r="EY587" s="1486"/>
      <c r="EZ587" s="1487"/>
      <c r="FA587" s="1487"/>
      <c r="FB587" s="1151"/>
      <c r="FC587" s="1151"/>
      <c r="FD587" s="1151"/>
      <c r="FE587" s="1151"/>
      <c r="FF587" s="1151"/>
      <c r="FG587" s="1151"/>
      <c r="FH587" s="1151"/>
      <c r="FI587" s="1151"/>
      <c r="FJ587" s="1151"/>
      <c r="FK587" s="1151"/>
      <c r="FL587" s="1151"/>
      <c r="FM587" s="1151"/>
      <c r="FN587" s="1151"/>
      <c r="FO587" s="1151"/>
      <c r="FP587" s="1151"/>
      <c r="FQ587" s="1151"/>
      <c r="FR587" s="1151"/>
      <c r="FS587" s="1151"/>
      <c r="FT587" s="1151"/>
      <c r="FU587" s="1151"/>
      <c r="FV587" s="1151"/>
      <c r="FW587" s="1151"/>
      <c r="FX587" s="1151"/>
      <c r="FY587" s="1488"/>
      <c r="FZ587" s="1488"/>
      <c r="GA587" s="1488"/>
      <c r="GB587" s="1485"/>
      <c r="GC587" s="1485"/>
      <c r="GD587" s="1485"/>
      <c r="GE587" s="1485"/>
      <c r="GF587" s="1485"/>
      <c r="GG587" s="1485"/>
      <c r="GH587" s="1485"/>
    </row>
    <row r="588" spans="144:190" s="1295" customFormat="1" x14ac:dyDescent="0.25">
      <c r="EN588" s="1485"/>
      <c r="EO588" s="1485"/>
      <c r="EP588" s="1485"/>
      <c r="EQ588" s="1485"/>
      <c r="ER588" s="1485"/>
      <c r="ES588" s="1485"/>
      <c r="ET588" s="1485"/>
      <c r="EU588" s="1485"/>
      <c r="EV588" s="1485"/>
      <c r="EW588" s="1485"/>
      <c r="EX588" s="1486"/>
      <c r="EY588" s="1486"/>
      <c r="EZ588" s="1487"/>
      <c r="FA588" s="1487"/>
      <c r="FB588" s="1151"/>
      <c r="FC588" s="1151"/>
      <c r="FD588" s="1151"/>
      <c r="FE588" s="1151"/>
      <c r="FF588" s="1151"/>
      <c r="FG588" s="1151"/>
      <c r="FH588" s="1151"/>
      <c r="FI588" s="1151"/>
      <c r="FJ588" s="1151"/>
      <c r="FK588" s="1151"/>
      <c r="FL588" s="1151"/>
      <c r="FM588" s="1151"/>
      <c r="FN588" s="1151"/>
      <c r="FO588" s="1151"/>
      <c r="FP588" s="1151"/>
      <c r="FQ588" s="1151"/>
      <c r="FR588" s="1151"/>
      <c r="FS588" s="1151"/>
      <c r="FT588" s="1151"/>
      <c r="FU588" s="1151"/>
      <c r="FV588" s="1151"/>
      <c r="FW588" s="1151"/>
      <c r="FX588" s="1151"/>
      <c r="FY588" s="1488"/>
      <c r="FZ588" s="1488"/>
      <c r="GA588" s="1488"/>
      <c r="GB588" s="1485"/>
      <c r="GC588" s="1485"/>
      <c r="GD588" s="1485"/>
      <c r="GE588" s="1485"/>
      <c r="GF588" s="1485"/>
      <c r="GG588" s="1485"/>
      <c r="GH588" s="1485"/>
    </row>
    <row r="589" spans="144:190" s="1295" customFormat="1" x14ac:dyDescent="0.25">
      <c r="EN589" s="1485"/>
      <c r="EO589" s="1485"/>
      <c r="EP589" s="1485"/>
      <c r="EQ589" s="1485"/>
      <c r="ER589" s="1485"/>
      <c r="ES589" s="1485"/>
      <c r="ET589" s="1485"/>
      <c r="EU589" s="1485"/>
      <c r="EV589" s="1485"/>
      <c r="EW589" s="1485"/>
      <c r="EX589" s="1486"/>
      <c r="EY589" s="1486"/>
      <c r="EZ589" s="1487"/>
      <c r="FA589" s="1487"/>
      <c r="FB589" s="1151"/>
      <c r="FC589" s="1151"/>
      <c r="FD589" s="1151"/>
      <c r="FE589" s="1151"/>
      <c r="FF589" s="1151"/>
      <c r="FG589" s="1151"/>
      <c r="FH589" s="1151"/>
      <c r="FI589" s="1151"/>
      <c r="FJ589" s="1151"/>
      <c r="FK589" s="1151"/>
      <c r="FL589" s="1151"/>
      <c r="FM589" s="1151"/>
      <c r="FN589" s="1151"/>
      <c r="FO589" s="1151"/>
      <c r="FP589" s="1151"/>
      <c r="FQ589" s="1151"/>
      <c r="FR589" s="1151"/>
      <c r="FS589" s="1151"/>
      <c r="FT589" s="1151"/>
      <c r="FU589" s="1151"/>
      <c r="FV589" s="1151"/>
      <c r="FW589" s="1151"/>
      <c r="FX589" s="1151"/>
      <c r="FY589" s="1488"/>
      <c r="FZ589" s="1488"/>
      <c r="GA589" s="1488"/>
      <c r="GB589" s="1485"/>
      <c r="GC589" s="1485"/>
      <c r="GD589" s="1485"/>
      <c r="GE589" s="1485"/>
      <c r="GF589" s="1485"/>
      <c r="GG589" s="1485"/>
      <c r="GH589" s="1485"/>
    </row>
    <row r="590" spans="144:190" s="1295" customFormat="1" x14ac:dyDescent="0.25">
      <c r="EN590" s="1485"/>
      <c r="EO590" s="1485"/>
      <c r="EP590" s="1485"/>
      <c r="EQ590" s="1485"/>
      <c r="ER590" s="1485"/>
      <c r="ES590" s="1485"/>
      <c r="ET590" s="1485"/>
      <c r="EU590" s="1485"/>
      <c r="EV590" s="1485"/>
      <c r="EW590" s="1485"/>
      <c r="EX590" s="1486"/>
      <c r="EY590" s="1486"/>
      <c r="EZ590" s="1487"/>
      <c r="FA590" s="1487"/>
      <c r="FB590" s="1151"/>
      <c r="FC590" s="1151"/>
      <c r="FD590" s="1151"/>
      <c r="FE590" s="1151"/>
      <c r="FF590" s="1151"/>
      <c r="FG590" s="1151"/>
      <c r="FH590" s="1151"/>
      <c r="FI590" s="1151"/>
      <c r="FJ590" s="1151"/>
      <c r="FK590" s="1151"/>
      <c r="FL590" s="1151"/>
      <c r="FM590" s="1151"/>
      <c r="FN590" s="1151"/>
      <c r="FO590" s="1151"/>
      <c r="FP590" s="1151"/>
      <c r="FQ590" s="1151"/>
      <c r="FR590" s="1151"/>
      <c r="FS590" s="1151"/>
      <c r="FT590" s="1151"/>
      <c r="FU590" s="1151"/>
      <c r="FV590" s="1151"/>
      <c r="FW590" s="1151"/>
      <c r="FX590" s="1151"/>
      <c r="FY590" s="1488"/>
      <c r="FZ590" s="1488"/>
      <c r="GA590" s="1488"/>
      <c r="GB590" s="1485"/>
      <c r="GC590" s="1485"/>
      <c r="GD590" s="1485"/>
      <c r="GE590" s="1485"/>
      <c r="GF590" s="1485"/>
      <c r="GG590" s="1485"/>
      <c r="GH590" s="1485"/>
    </row>
    <row r="591" spans="144:190" s="1295" customFormat="1" x14ac:dyDescent="0.25">
      <c r="EN591" s="1485"/>
      <c r="EO591" s="1485"/>
      <c r="EP591" s="1485"/>
      <c r="EQ591" s="1485"/>
      <c r="ER591" s="1485"/>
      <c r="ES591" s="1485"/>
      <c r="ET591" s="1485"/>
      <c r="EU591" s="1485"/>
      <c r="EV591" s="1485"/>
      <c r="EW591" s="1485"/>
      <c r="EX591" s="1486"/>
      <c r="EY591" s="1486"/>
      <c r="EZ591" s="1487"/>
      <c r="FA591" s="1487"/>
      <c r="FB591" s="1151"/>
      <c r="FC591" s="1151"/>
      <c r="FD591" s="1151"/>
      <c r="FE591" s="1151"/>
      <c r="FF591" s="1151"/>
      <c r="FG591" s="1151"/>
      <c r="FH591" s="1151"/>
      <c r="FI591" s="1151"/>
      <c r="FJ591" s="1151"/>
      <c r="FK591" s="1151"/>
      <c r="FL591" s="1151"/>
      <c r="FM591" s="1151"/>
      <c r="FN591" s="1151"/>
      <c r="FO591" s="1151"/>
      <c r="FP591" s="1151"/>
      <c r="FQ591" s="1151"/>
      <c r="FR591" s="1151"/>
      <c r="FS591" s="1151"/>
      <c r="FT591" s="1151"/>
      <c r="FU591" s="1151"/>
      <c r="FV591" s="1151"/>
      <c r="FW591" s="1151"/>
      <c r="FX591" s="1151"/>
      <c r="FY591" s="1488"/>
      <c r="FZ591" s="1488"/>
      <c r="GA591" s="1488"/>
      <c r="GB591" s="1485"/>
      <c r="GC591" s="1485"/>
      <c r="GD591" s="1485"/>
      <c r="GE591" s="1485"/>
      <c r="GF591" s="1485"/>
      <c r="GG591" s="1485"/>
      <c r="GH591" s="1485"/>
    </row>
    <row r="592" spans="144:190" s="1295" customFormat="1" x14ac:dyDescent="0.25">
      <c r="EN592" s="1485"/>
      <c r="EO592" s="1485"/>
      <c r="EP592" s="1485"/>
      <c r="EQ592" s="1485"/>
      <c r="ER592" s="1485"/>
      <c r="ES592" s="1485"/>
      <c r="ET592" s="1485"/>
      <c r="EU592" s="1485"/>
      <c r="EV592" s="1485"/>
      <c r="EW592" s="1485"/>
      <c r="EX592" s="1486"/>
      <c r="EY592" s="1486"/>
      <c r="EZ592" s="1487"/>
      <c r="FA592" s="1487"/>
      <c r="FB592" s="1151"/>
      <c r="FC592" s="1151"/>
      <c r="FD592" s="1151"/>
      <c r="FE592" s="1151"/>
      <c r="FF592" s="1151"/>
      <c r="FG592" s="1151"/>
      <c r="FH592" s="1151"/>
      <c r="FI592" s="1151"/>
      <c r="FJ592" s="1151"/>
      <c r="FK592" s="1151"/>
      <c r="FL592" s="1151"/>
      <c r="FM592" s="1151"/>
      <c r="FN592" s="1151"/>
      <c r="FO592" s="1151"/>
      <c r="FP592" s="1151"/>
      <c r="FQ592" s="1151"/>
      <c r="FR592" s="1151"/>
      <c r="FS592" s="1151"/>
      <c r="FT592" s="1151"/>
      <c r="FU592" s="1151"/>
      <c r="FV592" s="1151"/>
      <c r="FW592" s="1151"/>
      <c r="FX592" s="1151"/>
      <c r="FY592" s="1488"/>
      <c r="FZ592" s="1488"/>
      <c r="GA592" s="1488"/>
      <c r="GB592" s="1485"/>
      <c r="GC592" s="1485"/>
      <c r="GD592" s="1485"/>
      <c r="GE592" s="1485"/>
      <c r="GF592" s="1485"/>
      <c r="GG592" s="1485"/>
      <c r="GH592" s="1485"/>
    </row>
    <row r="593" spans="144:190" s="1295" customFormat="1" x14ac:dyDescent="0.25">
      <c r="EN593" s="1485"/>
      <c r="EO593" s="1485"/>
      <c r="EP593" s="1485"/>
      <c r="EQ593" s="1485"/>
      <c r="ER593" s="1485"/>
      <c r="ES593" s="1485"/>
      <c r="ET593" s="1485"/>
      <c r="EU593" s="1485"/>
      <c r="EV593" s="1485"/>
      <c r="EW593" s="1485"/>
      <c r="EX593" s="1486"/>
      <c r="EY593" s="1486"/>
      <c r="EZ593" s="1487"/>
      <c r="FA593" s="1487"/>
      <c r="FB593" s="1151"/>
      <c r="FC593" s="1151"/>
      <c r="FD593" s="1151"/>
      <c r="FE593" s="1151"/>
      <c r="FF593" s="1151"/>
      <c r="FG593" s="1151"/>
      <c r="FH593" s="1151"/>
      <c r="FI593" s="1151"/>
      <c r="FJ593" s="1151"/>
      <c r="FK593" s="1151"/>
      <c r="FL593" s="1151"/>
      <c r="FM593" s="1151"/>
      <c r="FN593" s="1151"/>
      <c r="FO593" s="1151"/>
      <c r="FP593" s="1151"/>
      <c r="FQ593" s="1151"/>
      <c r="FR593" s="1151"/>
      <c r="FS593" s="1151"/>
      <c r="FT593" s="1151"/>
      <c r="FU593" s="1151"/>
      <c r="FV593" s="1151"/>
      <c r="FW593" s="1151"/>
      <c r="FX593" s="1151"/>
      <c r="FY593" s="1488"/>
      <c r="FZ593" s="1488"/>
      <c r="GA593" s="1488"/>
      <c r="GB593" s="1485"/>
      <c r="GC593" s="1485"/>
      <c r="GD593" s="1485"/>
      <c r="GE593" s="1485"/>
      <c r="GF593" s="1485"/>
      <c r="GG593" s="1485"/>
      <c r="GH593" s="1485"/>
    </row>
    <row r="594" spans="144:190" s="1295" customFormat="1" x14ac:dyDescent="0.25">
      <c r="EN594" s="1485"/>
      <c r="EO594" s="1485"/>
      <c r="EP594" s="1485"/>
      <c r="EQ594" s="1485"/>
      <c r="ER594" s="1485"/>
      <c r="ES594" s="1485"/>
      <c r="ET594" s="1485"/>
      <c r="EU594" s="1485"/>
      <c r="EV594" s="1485"/>
      <c r="EW594" s="1485"/>
      <c r="EX594" s="1486"/>
      <c r="EY594" s="1486"/>
      <c r="EZ594" s="1487"/>
      <c r="FA594" s="1487"/>
      <c r="FB594" s="1151"/>
      <c r="FC594" s="1151"/>
      <c r="FD594" s="1151"/>
      <c r="FE594" s="1151"/>
      <c r="FF594" s="1151"/>
      <c r="FG594" s="1151"/>
      <c r="FH594" s="1151"/>
      <c r="FI594" s="1151"/>
      <c r="FJ594" s="1151"/>
      <c r="FK594" s="1151"/>
      <c r="FL594" s="1151"/>
      <c r="FM594" s="1151"/>
      <c r="FN594" s="1151"/>
      <c r="FO594" s="1151"/>
      <c r="FP594" s="1151"/>
      <c r="FQ594" s="1151"/>
      <c r="FR594" s="1151"/>
      <c r="FS594" s="1151"/>
      <c r="FT594" s="1151"/>
      <c r="FU594" s="1151"/>
      <c r="FV594" s="1151"/>
      <c r="FW594" s="1151"/>
      <c r="FX594" s="1151"/>
      <c r="FY594" s="1488"/>
      <c r="FZ594" s="1488"/>
      <c r="GA594" s="1488"/>
      <c r="GB594" s="1485"/>
      <c r="GC594" s="1485"/>
      <c r="GD594" s="1485"/>
      <c r="GE594" s="1485"/>
      <c r="GF594" s="1485"/>
      <c r="GG594" s="1485"/>
      <c r="GH594" s="1485"/>
    </row>
    <row r="595" spans="144:190" s="1295" customFormat="1" x14ac:dyDescent="0.25">
      <c r="EN595" s="1485"/>
      <c r="EO595" s="1485"/>
      <c r="EP595" s="1485"/>
      <c r="EQ595" s="1485"/>
      <c r="ER595" s="1485"/>
      <c r="ES595" s="1485"/>
      <c r="ET595" s="1485"/>
      <c r="EU595" s="1485"/>
      <c r="EV595" s="1485"/>
      <c r="EW595" s="1485"/>
      <c r="EX595" s="1486"/>
      <c r="EY595" s="1486"/>
      <c r="EZ595" s="1487"/>
      <c r="FA595" s="1487"/>
      <c r="FB595" s="1151"/>
      <c r="FC595" s="1151"/>
      <c r="FD595" s="1151"/>
      <c r="FE595" s="1151"/>
      <c r="FF595" s="1151"/>
      <c r="FG595" s="1151"/>
      <c r="FH595" s="1151"/>
      <c r="FI595" s="1151"/>
      <c r="FJ595" s="1151"/>
      <c r="FK595" s="1151"/>
      <c r="FL595" s="1151"/>
      <c r="FM595" s="1151"/>
      <c r="FN595" s="1151"/>
      <c r="FO595" s="1151"/>
      <c r="FP595" s="1151"/>
      <c r="FQ595" s="1151"/>
      <c r="FR595" s="1151"/>
      <c r="FS595" s="1151"/>
      <c r="FT595" s="1151"/>
      <c r="FU595" s="1151"/>
      <c r="FV595" s="1151"/>
      <c r="FW595" s="1151"/>
      <c r="FX595" s="1151"/>
      <c r="FY595" s="1488"/>
      <c r="FZ595" s="1488"/>
      <c r="GA595" s="1488"/>
      <c r="GB595" s="1485"/>
      <c r="GC595" s="1485"/>
      <c r="GD595" s="1485"/>
      <c r="GE595" s="1485"/>
      <c r="GF595" s="1485"/>
      <c r="GG595" s="1485"/>
      <c r="GH595" s="1485"/>
    </row>
    <row r="596" spans="144:190" s="1295" customFormat="1" x14ac:dyDescent="0.25">
      <c r="EN596" s="1485"/>
      <c r="EO596" s="1485"/>
      <c r="EP596" s="1485"/>
      <c r="EQ596" s="1485"/>
      <c r="ER596" s="1485"/>
      <c r="ES596" s="1485"/>
      <c r="ET596" s="1485"/>
      <c r="EU596" s="1485"/>
      <c r="EV596" s="1485"/>
      <c r="EW596" s="1485"/>
      <c r="EX596" s="1486"/>
      <c r="EY596" s="1486"/>
      <c r="EZ596" s="1487"/>
      <c r="FA596" s="1487"/>
      <c r="FB596" s="1151"/>
      <c r="FC596" s="1151"/>
      <c r="FD596" s="1151"/>
      <c r="FE596" s="1151"/>
      <c r="FF596" s="1151"/>
      <c r="FG596" s="1151"/>
      <c r="FH596" s="1151"/>
      <c r="FI596" s="1151"/>
      <c r="FJ596" s="1151"/>
      <c r="FK596" s="1151"/>
      <c r="FL596" s="1151"/>
      <c r="FM596" s="1151"/>
      <c r="FN596" s="1151"/>
      <c r="FO596" s="1151"/>
      <c r="FP596" s="1151"/>
      <c r="FQ596" s="1151"/>
      <c r="FR596" s="1151"/>
      <c r="FS596" s="1151"/>
      <c r="FT596" s="1151"/>
      <c r="FU596" s="1151"/>
      <c r="FV596" s="1151"/>
      <c r="FW596" s="1151"/>
      <c r="FX596" s="1151"/>
      <c r="FY596" s="1488"/>
      <c r="FZ596" s="1488"/>
      <c r="GA596" s="1488"/>
      <c r="GB596" s="1485"/>
      <c r="GC596" s="1485"/>
      <c r="GD596" s="1485"/>
      <c r="GE596" s="1485"/>
      <c r="GF596" s="1485"/>
      <c r="GG596" s="1485"/>
      <c r="GH596" s="1485"/>
    </row>
    <row r="597" spans="144:190" s="1295" customFormat="1" x14ac:dyDescent="0.25">
      <c r="EN597" s="1485"/>
      <c r="EO597" s="1485"/>
      <c r="EP597" s="1485"/>
      <c r="EQ597" s="1485"/>
      <c r="ER597" s="1485"/>
      <c r="ES597" s="1485"/>
      <c r="ET597" s="1485"/>
      <c r="EU597" s="1485"/>
      <c r="EV597" s="1485"/>
      <c r="EW597" s="1485"/>
      <c r="EX597" s="1486"/>
      <c r="EY597" s="1486"/>
      <c r="EZ597" s="1487"/>
      <c r="FA597" s="1487"/>
      <c r="FB597" s="1151"/>
      <c r="FC597" s="1151"/>
      <c r="FD597" s="1151"/>
      <c r="FE597" s="1151"/>
      <c r="FF597" s="1151"/>
      <c r="FG597" s="1151"/>
      <c r="FH597" s="1151"/>
      <c r="FI597" s="1151"/>
      <c r="FJ597" s="1151"/>
      <c r="FK597" s="1151"/>
      <c r="FL597" s="1151"/>
      <c r="FM597" s="1151"/>
      <c r="FN597" s="1151"/>
      <c r="FO597" s="1151"/>
      <c r="FP597" s="1151"/>
      <c r="FQ597" s="1151"/>
      <c r="FR597" s="1151"/>
      <c r="FS597" s="1151"/>
      <c r="FT597" s="1151"/>
      <c r="FU597" s="1151"/>
      <c r="FV597" s="1151"/>
      <c r="FW597" s="1151"/>
      <c r="FX597" s="1151"/>
      <c r="FY597" s="1488"/>
      <c r="FZ597" s="1488"/>
      <c r="GA597" s="1488"/>
      <c r="GB597" s="1485"/>
      <c r="GC597" s="1485"/>
      <c r="GD597" s="1485"/>
      <c r="GE597" s="1485"/>
      <c r="GF597" s="1485"/>
      <c r="GG597" s="1485"/>
      <c r="GH597" s="1485"/>
    </row>
    <row r="598" spans="144:190" s="1295" customFormat="1" x14ac:dyDescent="0.25">
      <c r="EN598" s="1485"/>
      <c r="EO598" s="1485"/>
      <c r="EP598" s="1485"/>
      <c r="EQ598" s="1485"/>
      <c r="ER598" s="1485"/>
      <c r="ES598" s="1485"/>
      <c r="ET598" s="1485"/>
      <c r="EU598" s="1485"/>
      <c r="EV598" s="1485"/>
      <c r="EW598" s="1485"/>
      <c r="EX598" s="1486"/>
      <c r="EY598" s="1486"/>
      <c r="EZ598" s="1487"/>
      <c r="FA598" s="1487"/>
      <c r="FB598" s="1151"/>
      <c r="FC598" s="1151"/>
      <c r="FD598" s="1151"/>
      <c r="FE598" s="1151"/>
      <c r="FF598" s="1151"/>
      <c r="FG598" s="1151"/>
      <c r="FH598" s="1151"/>
      <c r="FI598" s="1151"/>
      <c r="FJ598" s="1151"/>
      <c r="FK598" s="1151"/>
      <c r="FL598" s="1151"/>
      <c r="FM598" s="1151"/>
      <c r="FN598" s="1151"/>
      <c r="FO598" s="1151"/>
      <c r="FP598" s="1151"/>
      <c r="FQ598" s="1151"/>
      <c r="FR598" s="1151"/>
      <c r="FS598" s="1151"/>
      <c r="FT598" s="1151"/>
      <c r="FU598" s="1151"/>
      <c r="FV598" s="1151"/>
      <c r="FW598" s="1151"/>
      <c r="FX598" s="1151"/>
      <c r="FY598" s="1488"/>
      <c r="FZ598" s="1488"/>
      <c r="GA598" s="1488"/>
      <c r="GB598" s="1485"/>
      <c r="GC598" s="1485"/>
      <c r="GD598" s="1485"/>
      <c r="GE598" s="1485"/>
      <c r="GF598" s="1485"/>
      <c r="GG598" s="1485"/>
      <c r="GH598" s="1485"/>
    </row>
    <row r="599" spans="144:190" s="1295" customFormat="1" x14ac:dyDescent="0.25">
      <c r="EN599" s="1485"/>
      <c r="EO599" s="1485"/>
      <c r="EP599" s="1485"/>
      <c r="EQ599" s="1485"/>
      <c r="ER599" s="1485"/>
      <c r="ES599" s="1485"/>
      <c r="ET599" s="1485"/>
      <c r="EU599" s="1485"/>
      <c r="EV599" s="1485"/>
      <c r="EW599" s="1485"/>
      <c r="EX599" s="1486"/>
      <c r="EY599" s="1486"/>
      <c r="EZ599" s="1487"/>
      <c r="FA599" s="1487"/>
      <c r="FB599" s="1151"/>
      <c r="FC599" s="1151"/>
      <c r="FD599" s="1151"/>
      <c r="FE599" s="1151"/>
      <c r="FF599" s="1151"/>
      <c r="FG599" s="1151"/>
      <c r="FH599" s="1151"/>
      <c r="FI599" s="1151"/>
      <c r="FJ599" s="1151"/>
      <c r="FK599" s="1151"/>
      <c r="FL599" s="1151"/>
      <c r="FM599" s="1151"/>
      <c r="FN599" s="1151"/>
      <c r="FO599" s="1151"/>
      <c r="FP599" s="1151"/>
      <c r="FQ599" s="1151"/>
      <c r="FR599" s="1151"/>
      <c r="FS599" s="1151"/>
      <c r="FT599" s="1151"/>
      <c r="FU599" s="1151"/>
      <c r="FV599" s="1151"/>
      <c r="FW599" s="1151"/>
      <c r="FX599" s="1151"/>
      <c r="FY599" s="1488"/>
      <c r="FZ599" s="1488"/>
      <c r="GA599" s="1488"/>
      <c r="GB599" s="1485"/>
      <c r="GC599" s="1485"/>
      <c r="GD599" s="1485"/>
      <c r="GE599" s="1485"/>
      <c r="GF599" s="1485"/>
      <c r="GG599" s="1485"/>
      <c r="GH599" s="1485"/>
    </row>
    <row r="600" spans="144:190" s="1295" customFormat="1" x14ac:dyDescent="0.25">
      <c r="EN600" s="1485"/>
      <c r="EO600" s="1485"/>
      <c r="EP600" s="1485"/>
      <c r="EQ600" s="1485"/>
      <c r="ER600" s="1485"/>
      <c r="ES600" s="1485"/>
      <c r="ET600" s="1485"/>
      <c r="EU600" s="1485"/>
      <c r="EV600" s="1485"/>
      <c r="EW600" s="1485"/>
      <c r="EX600" s="1486"/>
      <c r="EY600" s="1486"/>
      <c r="EZ600" s="1487"/>
      <c r="FA600" s="1487"/>
      <c r="FB600" s="1151"/>
      <c r="FC600" s="1151"/>
      <c r="FD600" s="1151"/>
      <c r="FE600" s="1151"/>
      <c r="FF600" s="1151"/>
      <c r="FG600" s="1151"/>
      <c r="FH600" s="1151"/>
      <c r="FI600" s="1151"/>
      <c r="FJ600" s="1151"/>
      <c r="FK600" s="1151"/>
      <c r="FL600" s="1151"/>
      <c r="FM600" s="1151"/>
      <c r="FN600" s="1151"/>
      <c r="FO600" s="1151"/>
      <c r="FP600" s="1151"/>
      <c r="FQ600" s="1151"/>
      <c r="FR600" s="1151"/>
      <c r="FS600" s="1151"/>
      <c r="FT600" s="1151"/>
      <c r="FU600" s="1151"/>
      <c r="FV600" s="1151"/>
      <c r="FW600" s="1151"/>
      <c r="FX600" s="1151"/>
      <c r="FY600" s="1488"/>
      <c r="FZ600" s="1488"/>
      <c r="GA600" s="1488"/>
      <c r="GB600" s="1485"/>
      <c r="GC600" s="1485"/>
      <c r="GD600" s="1485"/>
      <c r="GE600" s="1485"/>
      <c r="GF600" s="1485"/>
      <c r="GG600" s="1485"/>
      <c r="GH600" s="1485"/>
    </row>
    <row r="601" spans="144:190" s="1295" customFormat="1" x14ac:dyDescent="0.25">
      <c r="EN601" s="1485"/>
      <c r="EO601" s="1485"/>
      <c r="EP601" s="1485"/>
      <c r="EQ601" s="1485"/>
      <c r="ER601" s="1485"/>
      <c r="ES601" s="1485"/>
      <c r="ET601" s="1485"/>
      <c r="EU601" s="1485"/>
      <c r="EV601" s="1485"/>
      <c r="EW601" s="1485"/>
      <c r="EX601" s="1486"/>
      <c r="EY601" s="1486"/>
      <c r="EZ601" s="1487"/>
      <c r="FA601" s="1487"/>
      <c r="FB601" s="1151"/>
      <c r="FC601" s="1151"/>
      <c r="FD601" s="1151"/>
      <c r="FE601" s="1151"/>
      <c r="FF601" s="1151"/>
      <c r="FG601" s="1151"/>
      <c r="FH601" s="1151"/>
      <c r="FI601" s="1151"/>
      <c r="FJ601" s="1151"/>
      <c r="FK601" s="1151"/>
      <c r="FL601" s="1151"/>
      <c r="FM601" s="1151"/>
      <c r="FN601" s="1151"/>
      <c r="FO601" s="1151"/>
      <c r="FP601" s="1151"/>
      <c r="FQ601" s="1151"/>
      <c r="FR601" s="1151"/>
      <c r="FS601" s="1151"/>
      <c r="FT601" s="1151"/>
      <c r="FU601" s="1151"/>
      <c r="FV601" s="1151"/>
      <c r="FW601" s="1151"/>
      <c r="FX601" s="1151"/>
      <c r="FY601" s="1488"/>
      <c r="FZ601" s="1488"/>
      <c r="GA601" s="1488"/>
      <c r="GB601" s="1485"/>
      <c r="GC601" s="1485"/>
      <c r="GD601" s="1485"/>
      <c r="GE601" s="1485"/>
      <c r="GF601" s="1485"/>
      <c r="GG601" s="1485"/>
      <c r="GH601" s="1485"/>
    </row>
    <row r="602" spans="144:190" s="1295" customFormat="1" x14ac:dyDescent="0.25">
      <c r="EN602" s="1485"/>
      <c r="EO602" s="1485"/>
      <c r="EP602" s="1485"/>
      <c r="EQ602" s="1485"/>
      <c r="ER602" s="1485"/>
      <c r="ES602" s="1485"/>
      <c r="ET602" s="1485"/>
      <c r="EU602" s="1485"/>
      <c r="EV602" s="1485"/>
      <c r="EW602" s="1485"/>
      <c r="EX602" s="1486"/>
      <c r="EY602" s="1486"/>
      <c r="EZ602" s="1487"/>
      <c r="FA602" s="1487"/>
      <c r="FB602" s="1151"/>
      <c r="FC602" s="1151"/>
      <c r="FD602" s="1151"/>
      <c r="FE602" s="1151"/>
      <c r="FF602" s="1151"/>
      <c r="FG602" s="1151"/>
      <c r="FH602" s="1151"/>
      <c r="FI602" s="1151"/>
      <c r="FJ602" s="1151"/>
      <c r="FK602" s="1151"/>
      <c r="FL602" s="1151"/>
      <c r="FM602" s="1151"/>
      <c r="FN602" s="1151"/>
      <c r="FO602" s="1151"/>
      <c r="FP602" s="1151"/>
      <c r="FQ602" s="1151"/>
      <c r="FR602" s="1151"/>
      <c r="FS602" s="1151"/>
      <c r="FT602" s="1151"/>
      <c r="FU602" s="1151"/>
      <c r="FV602" s="1151"/>
      <c r="FW602" s="1151"/>
      <c r="FX602" s="1151"/>
      <c r="FY602" s="1488"/>
      <c r="FZ602" s="1488"/>
      <c r="GA602" s="1488"/>
      <c r="GB602" s="1485"/>
      <c r="GC602" s="1485"/>
      <c r="GD602" s="1485"/>
      <c r="GE602" s="1485"/>
      <c r="GF602" s="1485"/>
      <c r="GG602" s="1485"/>
      <c r="GH602" s="1485"/>
    </row>
    <row r="603" spans="144:190" s="1295" customFormat="1" x14ac:dyDescent="0.25">
      <c r="EN603" s="1485"/>
      <c r="EO603" s="1485"/>
      <c r="EP603" s="1485"/>
      <c r="EQ603" s="1485"/>
      <c r="ER603" s="1485"/>
      <c r="ES603" s="1485"/>
      <c r="ET603" s="1485"/>
      <c r="EU603" s="1485"/>
      <c r="EV603" s="1485"/>
      <c r="EW603" s="1485"/>
      <c r="EX603" s="1486"/>
      <c r="EY603" s="1486"/>
      <c r="EZ603" s="1487"/>
      <c r="FA603" s="1487"/>
      <c r="FB603" s="1151"/>
      <c r="FC603" s="1151"/>
      <c r="FD603" s="1151"/>
      <c r="FE603" s="1151"/>
      <c r="FF603" s="1151"/>
      <c r="FG603" s="1151"/>
      <c r="FH603" s="1151"/>
      <c r="FI603" s="1151"/>
      <c r="FJ603" s="1151"/>
      <c r="FK603" s="1151"/>
      <c r="FL603" s="1151"/>
      <c r="FM603" s="1151"/>
      <c r="FN603" s="1151"/>
      <c r="FO603" s="1151"/>
      <c r="FP603" s="1151"/>
      <c r="FQ603" s="1151"/>
      <c r="FR603" s="1151"/>
      <c r="FS603" s="1151"/>
      <c r="FT603" s="1151"/>
      <c r="FU603" s="1151"/>
      <c r="FV603" s="1151"/>
      <c r="FW603" s="1151"/>
      <c r="FX603" s="1151"/>
      <c r="FY603" s="1488"/>
      <c r="FZ603" s="1488"/>
      <c r="GA603" s="1488"/>
      <c r="GB603" s="1485"/>
      <c r="GC603" s="1485"/>
      <c r="GD603" s="1485"/>
      <c r="GE603" s="1485"/>
      <c r="GF603" s="1485"/>
      <c r="GG603" s="1485"/>
      <c r="GH603" s="1485"/>
    </row>
    <row r="604" spans="144:190" s="1295" customFormat="1" x14ac:dyDescent="0.25">
      <c r="EN604" s="1485"/>
      <c r="EO604" s="1485"/>
      <c r="EP604" s="1485"/>
      <c r="EQ604" s="1485"/>
      <c r="ER604" s="1485"/>
      <c r="ES604" s="1485"/>
      <c r="ET604" s="1485"/>
      <c r="EU604" s="1485"/>
      <c r="EV604" s="1485"/>
      <c r="EW604" s="1485"/>
      <c r="EX604" s="1486"/>
      <c r="EY604" s="1486"/>
      <c r="EZ604" s="1487"/>
      <c r="FA604" s="1487"/>
      <c r="FB604" s="1151"/>
      <c r="FC604" s="1151"/>
      <c r="FD604" s="1151"/>
      <c r="FE604" s="1151"/>
      <c r="FF604" s="1151"/>
      <c r="FG604" s="1151"/>
      <c r="FH604" s="1151"/>
      <c r="FI604" s="1151"/>
      <c r="FJ604" s="1151"/>
      <c r="FK604" s="1151"/>
      <c r="FL604" s="1151"/>
      <c r="FM604" s="1151"/>
      <c r="FN604" s="1151"/>
      <c r="FO604" s="1151"/>
      <c r="FP604" s="1151"/>
      <c r="FQ604" s="1151"/>
      <c r="FR604" s="1151"/>
      <c r="FS604" s="1151"/>
      <c r="FT604" s="1151"/>
      <c r="FU604" s="1151"/>
      <c r="FV604" s="1151"/>
      <c r="FW604" s="1151"/>
      <c r="FX604" s="1151"/>
      <c r="FY604" s="1488"/>
      <c r="FZ604" s="1488"/>
      <c r="GA604" s="1488"/>
      <c r="GB604" s="1485"/>
      <c r="GC604" s="1485"/>
      <c r="GD604" s="1485"/>
      <c r="GE604" s="1485"/>
      <c r="GF604" s="1485"/>
      <c r="GG604" s="1485"/>
      <c r="GH604" s="1485"/>
    </row>
    <row r="605" spans="144:190" s="1295" customFormat="1" x14ac:dyDescent="0.25">
      <c r="EN605" s="1485"/>
      <c r="EO605" s="1485"/>
      <c r="EP605" s="1485"/>
      <c r="EQ605" s="1485"/>
      <c r="ER605" s="1485"/>
      <c r="ES605" s="1485"/>
      <c r="ET605" s="1485"/>
      <c r="EU605" s="1485"/>
      <c r="EV605" s="1485"/>
      <c r="EW605" s="1485"/>
      <c r="EX605" s="1486"/>
      <c r="EY605" s="1486"/>
      <c r="EZ605" s="1487"/>
      <c r="FA605" s="1487"/>
      <c r="FB605" s="1151"/>
      <c r="FC605" s="1151"/>
      <c r="FD605" s="1151"/>
      <c r="FE605" s="1151"/>
      <c r="FF605" s="1151"/>
      <c r="FG605" s="1151"/>
      <c r="FH605" s="1151"/>
      <c r="FI605" s="1151"/>
      <c r="FJ605" s="1151"/>
      <c r="FK605" s="1151"/>
      <c r="FL605" s="1151"/>
      <c r="FM605" s="1151"/>
      <c r="FN605" s="1151"/>
      <c r="FO605" s="1151"/>
      <c r="FP605" s="1151"/>
      <c r="FQ605" s="1151"/>
      <c r="FR605" s="1151"/>
      <c r="FS605" s="1151"/>
      <c r="FT605" s="1151"/>
      <c r="FU605" s="1151"/>
      <c r="FV605" s="1151"/>
      <c r="FW605" s="1151"/>
      <c r="FX605" s="1151"/>
      <c r="FY605" s="1488"/>
      <c r="FZ605" s="1488"/>
      <c r="GA605" s="1488"/>
      <c r="GB605" s="1485"/>
      <c r="GC605" s="1485"/>
      <c r="GD605" s="1485"/>
      <c r="GE605" s="1485"/>
      <c r="GF605" s="1485"/>
      <c r="GG605" s="1485"/>
      <c r="GH605" s="1485"/>
    </row>
    <row r="606" spans="144:190" s="1295" customFormat="1" x14ac:dyDescent="0.25">
      <c r="EN606" s="1485"/>
      <c r="EO606" s="1485"/>
      <c r="EP606" s="1485"/>
      <c r="EQ606" s="1485"/>
      <c r="ER606" s="1485"/>
      <c r="ES606" s="1485"/>
      <c r="ET606" s="1485"/>
      <c r="EU606" s="1485"/>
      <c r="EV606" s="1485"/>
      <c r="EW606" s="1485"/>
      <c r="EX606" s="1486"/>
      <c r="EY606" s="1486"/>
      <c r="EZ606" s="1487"/>
      <c r="FA606" s="1487"/>
      <c r="FB606" s="1151"/>
      <c r="FC606" s="1151"/>
      <c r="FD606" s="1151"/>
      <c r="FE606" s="1151"/>
      <c r="FF606" s="1151"/>
      <c r="FG606" s="1151"/>
      <c r="FH606" s="1151"/>
      <c r="FI606" s="1151"/>
      <c r="FJ606" s="1151"/>
      <c r="FK606" s="1151"/>
      <c r="FL606" s="1151"/>
      <c r="FM606" s="1151"/>
      <c r="FN606" s="1151"/>
      <c r="FO606" s="1151"/>
      <c r="FP606" s="1151"/>
      <c r="FQ606" s="1151"/>
      <c r="FR606" s="1151"/>
      <c r="FS606" s="1151"/>
      <c r="FT606" s="1151"/>
      <c r="FU606" s="1151"/>
      <c r="FV606" s="1151"/>
      <c r="FW606" s="1151"/>
      <c r="FX606" s="1151"/>
      <c r="FY606" s="1488"/>
      <c r="FZ606" s="1488"/>
      <c r="GA606" s="1488"/>
      <c r="GB606" s="1485"/>
      <c r="GC606" s="1485"/>
      <c r="GD606" s="1485"/>
      <c r="GE606" s="1485"/>
      <c r="GF606" s="1485"/>
      <c r="GG606" s="1485"/>
      <c r="GH606" s="1485"/>
    </row>
    <row r="607" spans="144:190" s="1295" customFormat="1" x14ac:dyDescent="0.25">
      <c r="EN607" s="1485"/>
      <c r="EO607" s="1485"/>
      <c r="EP607" s="1485"/>
      <c r="EQ607" s="1485"/>
      <c r="ER607" s="1485"/>
      <c r="ES607" s="1485"/>
      <c r="ET607" s="1485"/>
      <c r="EU607" s="1485"/>
      <c r="EV607" s="1485"/>
      <c r="EW607" s="1485"/>
      <c r="EX607" s="1486"/>
      <c r="EY607" s="1486"/>
      <c r="EZ607" s="1487"/>
      <c r="FA607" s="1487"/>
      <c r="FB607" s="1151"/>
      <c r="FC607" s="1151"/>
      <c r="FD607" s="1151"/>
      <c r="FE607" s="1151"/>
      <c r="FF607" s="1151"/>
      <c r="FG607" s="1151"/>
      <c r="FH607" s="1151"/>
      <c r="FI607" s="1151"/>
      <c r="FJ607" s="1151"/>
      <c r="FK607" s="1151"/>
      <c r="FL607" s="1151"/>
      <c r="FM607" s="1151"/>
      <c r="FN607" s="1151"/>
      <c r="FO607" s="1151"/>
      <c r="FP607" s="1151"/>
      <c r="FQ607" s="1151"/>
      <c r="FR607" s="1151"/>
      <c r="FS607" s="1151"/>
      <c r="FT607" s="1151"/>
      <c r="FU607" s="1151"/>
      <c r="FV607" s="1151"/>
      <c r="FW607" s="1151"/>
      <c r="FX607" s="1151"/>
      <c r="FY607" s="1488"/>
      <c r="FZ607" s="1488"/>
      <c r="GA607" s="1488"/>
      <c r="GB607" s="1485"/>
      <c r="GC607" s="1485"/>
      <c r="GD607" s="1485"/>
      <c r="GE607" s="1485"/>
      <c r="GF607" s="1485"/>
      <c r="GG607" s="1485"/>
      <c r="GH607" s="1485"/>
    </row>
    <row r="608" spans="144:190" s="1295" customFormat="1" x14ac:dyDescent="0.25">
      <c r="EN608" s="1485"/>
      <c r="EO608" s="1485"/>
      <c r="EP608" s="1485"/>
      <c r="EQ608" s="1485"/>
      <c r="ER608" s="1485"/>
      <c r="ES608" s="1485"/>
      <c r="ET608" s="1485"/>
      <c r="EU608" s="1485"/>
      <c r="EV608" s="1485"/>
      <c r="EW608" s="1485"/>
      <c r="EX608" s="1486"/>
      <c r="EY608" s="1486"/>
      <c r="EZ608" s="1487"/>
      <c r="FA608" s="1487"/>
      <c r="FB608" s="1151"/>
      <c r="FC608" s="1151"/>
      <c r="FD608" s="1151"/>
      <c r="FE608" s="1151"/>
      <c r="FF608" s="1151"/>
      <c r="FG608" s="1151"/>
      <c r="FH608" s="1151"/>
      <c r="FI608" s="1151"/>
      <c r="FJ608" s="1151"/>
      <c r="FK608" s="1151"/>
      <c r="FL608" s="1151"/>
      <c r="FM608" s="1151"/>
      <c r="FN608" s="1151"/>
      <c r="FO608" s="1151"/>
      <c r="FP608" s="1151"/>
      <c r="FQ608" s="1151"/>
      <c r="FR608" s="1151"/>
      <c r="FS608" s="1151"/>
      <c r="FT608" s="1151"/>
      <c r="FU608" s="1151"/>
      <c r="FV608" s="1151"/>
      <c r="FW608" s="1151"/>
      <c r="FX608" s="1151"/>
      <c r="FY608" s="1488"/>
      <c r="FZ608" s="1488"/>
      <c r="GA608" s="1488"/>
      <c r="GB608" s="1485"/>
      <c r="GC608" s="1485"/>
      <c r="GD608" s="1485"/>
      <c r="GE608" s="1485"/>
      <c r="GF608" s="1485"/>
      <c r="GG608" s="1485"/>
      <c r="GH608" s="1485"/>
    </row>
    <row r="609" spans="144:190" s="1295" customFormat="1" x14ac:dyDescent="0.25">
      <c r="EN609" s="1485"/>
      <c r="EO609" s="1485"/>
      <c r="EP609" s="1485"/>
      <c r="EQ609" s="1485"/>
      <c r="ER609" s="1485"/>
      <c r="ES609" s="1485"/>
      <c r="ET609" s="1485"/>
      <c r="EU609" s="1485"/>
      <c r="EV609" s="1485"/>
      <c r="EW609" s="1485"/>
      <c r="EX609" s="1486"/>
      <c r="EY609" s="1486"/>
      <c r="EZ609" s="1487"/>
      <c r="FA609" s="1487"/>
      <c r="FB609" s="1151"/>
      <c r="FC609" s="1151"/>
      <c r="FD609" s="1151"/>
      <c r="FE609" s="1151"/>
      <c r="FF609" s="1151"/>
      <c r="FG609" s="1151"/>
      <c r="FH609" s="1151"/>
      <c r="FI609" s="1151"/>
      <c r="FJ609" s="1151"/>
      <c r="FK609" s="1151"/>
      <c r="FL609" s="1151"/>
      <c r="FM609" s="1151"/>
      <c r="FN609" s="1151"/>
      <c r="FO609" s="1151"/>
      <c r="FP609" s="1151"/>
      <c r="FQ609" s="1151"/>
      <c r="FR609" s="1151"/>
      <c r="FS609" s="1151"/>
      <c r="FT609" s="1151"/>
      <c r="FU609" s="1151"/>
      <c r="FV609" s="1151"/>
      <c r="FW609" s="1151"/>
      <c r="FX609" s="1151"/>
      <c r="FY609" s="1488"/>
      <c r="FZ609" s="1488"/>
      <c r="GA609" s="1488"/>
      <c r="GB609" s="1485"/>
      <c r="GC609" s="1485"/>
      <c r="GD609" s="1485"/>
      <c r="GE609" s="1485"/>
      <c r="GF609" s="1485"/>
      <c r="GG609" s="1485"/>
      <c r="GH609" s="1485"/>
    </row>
    <row r="610" spans="144:190" s="1295" customFormat="1" x14ac:dyDescent="0.25">
      <c r="EN610" s="1485"/>
      <c r="EO610" s="1485"/>
      <c r="EP610" s="1485"/>
      <c r="EQ610" s="1485"/>
      <c r="ER610" s="1485"/>
      <c r="ES610" s="1485"/>
      <c r="ET610" s="1485"/>
      <c r="EU610" s="1485"/>
      <c r="EV610" s="1485"/>
      <c r="EW610" s="1485"/>
      <c r="EX610" s="1486"/>
      <c r="EY610" s="1486"/>
      <c r="EZ610" s="1487"/>
      <c r="FA610" s="1487"/>
      <c r="FB610" s="1151"/>
      <c r="FC610" s="1151"/>
      <c r="FD610" s="1151"/>
      <c r="FE610" s="1151"/>
      <c r="FF610" s="1151"/>
      <c r="FG610" s="1151"/>
      <c r="FH610" s="1151"/>
      <c r="FI610" s="1151"/>
      <c r="FJ610" s="1151"/>
      <c r="FK610" s="1151"/>
      <c r="FL610" s="1151"/>
      <c r="FM610" s="1151"/>
      <c r="FN610" s="1151"/>
      <c r="FO610" s="1151"/>
      <c r="FP610" s="1151"/>
      <c r="FQ610" s="1151"/>
      <c r="FR610" s="1151"/>
      <c r="FS610" s="1151"/>
      <c r="FT610" s="1151"/>
      <c r="FU610" s="1151"/>
      <c r="FV610" s="1151"/>
      <c r="FW610" s="1151"/>
      <c r="FX610" s="1151"/>
      <c r="FY610" s="1488"/>
      <c r="FZ610" s="1488"/>
      <c r="GA610" s="1488"/>
      <c r="GB610" s="1485"/>
      <c r="GC610" s="1485"/>
      <c r="GD610" s="1485"/>
      <c r="GE610" s="1485"/>
      <c r="GF610" s="1485"/>
      <c r="GG610" s="1485"/>
      <c r="GH610" s="1485"/>
    </row>
    <row r="611" spans="144:190" s="1295" customFormat="1" x14ac:dyDescent="0.25">
      <c r="EN611" s="1485"/>
      <c r="EO611" s="1485"/>
      <c r="EP611" s="1485"/>
      <c r="EQ611" s="1485"/>
      <c r="ER611" s="1485"/>
      <c r="ES611" s="1485"/>
      <c r="ET611" s="1485"/>
      <c r="EU611" s="1485"/>
      <c r="EV611" s="1485"/>
      <c r="EW611" s="1485"/>
      <c r="EX611" s="1486"/>
      <c r="EY611" s="1486"/>
      <c r="EZ611" s="1487"/>
      <c r="FA611" s="1487"/>
      <c r="FB611" s="1151"/>
      <c r="FC611" s="1151"/>
      <c r="FD611" s="1151"/>
      <c r="FE611" s="1151"/>
      <c r="FF611" s="1151"/>
      <c r="FG611" s="1151"/>
      <c r="FH611" s="1151"/>
      <c r="FI611" s="1151"/>
      <c r="FJ611" s="1151"/>
      <c r="FK611" s="1151"/>
      <c r="FL611" s="1151"/>
      <c r="FM611" s="1151"/>
      <c r="FN611" s="1151"/>
      <c r="FO611" s="1151"/>
      <c r="FP611" s="1151"/>
      <c r="FQ611" s="1151"/>
      <c r="FR611" s="1151"/>
      <c r="FS611" s="1151"/>
      <c r="FT611" s="1151"/>
      <c r="FU611" s="1151"/>
      <c r="FV611" s="1151"/>
      <c r="FW611" s="1151"/>
      <c r="FX611" s="1151"/>
      <c r="FY611" s="1488"/>
      <c r="FZ611" s="1488"/>
      <c r="GA611" s="1488"/>
      <c r="GB611" s="1485"/>
      <c r="GC611" s="1485"/>
      <c r="GD611" s="1485"/>
      <c r="GE611" s="1485"/>
      <c r="GF611" s="1485"/>
      <c r="GG611" s="1485"/>
      <c r="GH611" s="1485"/>
    </row>
    <row r="612" spans="144:190" s="1295" customFormat="1" x14ac:dyDescent="0.25">
      <c r="EN612" s="1485"/>
      <c r="EO612" s="1485"/>
      <c r="EP612" s="1485"/>
      <c r="EQ612" s="1485"/>
      <c r="ER612" s="1485"/>
      <c r="ES612" s="1485"/>
      <c r="ET612" s="1485"/>
      <c r="EU612" s="1485"/>
      <c r="EV612" s="1485"/>
      <c r="EW612" s="1485"/>
      <c r="EX612" s="1486"/>
      <c r="EY612" s="1486"/>
      <c r="EZ612" s="1487"/>
      <c r="FA612" s="1487"/>
      <c r="FB612" s="1151"/>
      <c r="FC612" s="1151"/>
      <c r="FD612" s="1151"/>
      <c r="FE612" s="1151"/>
      <c r="FF612" s="1151"/>
      <c r="FG612" s="1151"/>
      <c r="FH612" s="1151"/>
      <c r="FI612" s="1151"/>
      <c r="FJ612" s="1151"/>
      <c r="FK612" s="1151"/>
      <c r="FL612" s="1151"/>
      <c r="FM612" s="1151"/>
      <c r="FN612" s="1151"/>
      <c r="FO612" s="1151"/>
      <c r="FP612" s="1151"/>
      <c r="FQ612" s="1151"/>
      <c r="FR612" s="1151"/>
      <c r="FS612" s="1151"/>
      <c r="FT612" s="1151"/>
      <c r="FU612" s="1151"/>
      <c r="FV612" s="1151"/>
      <c r="FW612" s="1151"/>
      <c r="FX612" s="1151"/>
      <c r="FY612" s="1488"/>
      <c r="FZ612" s="1488"/>
      <c r="GA612" s="1488"/>
      <c r="GB612" s="1485"/>
      <c r="GC612" s="1485"/>
      <c r="GD612" s="1485"/>
      <c r="GE612" s="1485"/>
      <c r="GF612" s="1485"/>
      <c r="GG612" s="1485"/>
      <c r="GH612" s="1485"/>
    </row>
    <row r="613" spans="144:190" s="1295" customFormat="1" x14ac:dyDescent="0.25">
      <c r="EN613" s="1485"/>
      <c r="EO613" s="1485"/>
      <c r="EP613" s="1485"/>
      <c r="EQ613" s="1485"/>
      <c r="ER613" s="1485"/>
      <c r="ES613" s="1485"/>
      <c r="ET613" s="1485"/>
      <c r="EU613" s="1485"/>
      <c r="EV613" s="1485"/>
      <c r="EW613" s="1485"/>
      <c r="EX613" s="1486"/>
      <c r="EY613" s="1486"/>
      <c r="EZ613" s="1487"/>
      <c r="FA613" s="1487"/>
      <c r="FB613" s="1151"/>
      <c r="FC613" s="1151"/>
      <c r="FD613" s="1151"/>
      <c r="FE613" s="1151"/>
      <c r="FF613" s="1151"/>
      <c r="FG613" s="1151"/>
      <c r="FH613" s="1151"/>
      <c r="FI613" s="1151"/>
      <c r="FJ613" s="1151"/>
      <c r="FK613" s="1151"/>
      <c r="FL613" s="1151"/>
      <c r="FM613" s="1151"/>
      <c r="FN613" s="1151"/>
      <c r="FO613" s="1151"/>
      <c r="FP613" s="1151"/>
      <c r="FQ613" s="1151"/>
      <c r="FR613" s="1151"/>
      <c r="FS613" s="1151"/>
      <c r="FT613" s="1151"/>
      <c r="FU613" s="1151"/>
      <c r="FV613" s="1151"/>
      <c r="FW613" s="1151"/>
      <c r="FX613" s="1151"/>
      <c r="FY613" s="1488"/>
      <c r="FZ613" s="1488"/>
      <c r="GA613" s="1488"/>
      <c r="GB613" s="1485"/>
      <c r="GC613" s="1485"/>
      <c r="GD613" s="1485"/>
      <c r="GE613" s="1485"/>
      <c r="GF613" s="1485"/>
      <c r="GG613" s="1485"/>
      <c r="GH613" s="1485"/>
    </row>
    <row r="614" spans="144:190" s="1295" customFormat="1" x14ac:dyDescent="0.25">
      <c r="EN614" s="1485"/>
      <c r="EO614" s="1485"/>
      <c r="EP614" s="1485"/>
      <c r="EQ614" s="1485"/>
      <c r="ER614" s="1485"/>
      <c r="ES614" s="1485"/>
      <c r="ET614" s="1485"/>
      <c r="EU614" s="1485"/>
      <c r="EV614" s="1485"/>
      <c r="EW614" s="1485"/>
      <c r="EX614" s="1486"/>
      <c r="EY614" s="1486"/>
      <c r="EZ614" s="1487"/>
      <c r="FA614" s="1487"/>
      <c r="FB614" s="1151"/>
      <c r="FC614" s="1151"/>
      <c r="FD614" s="1151"/>
      <c r="FE614" s="1151"/>
      <c r="FF614" s="1151"/>
      <c r="FG614" s="1151"/>
      <c r="FH614" s="1151"/>
      <c r="FI614" s="1151"/>
      <c r="FJ614" s="1151"/>
      <c r="FK614" s="1151"/>
      <c r="FL614" s="1151"/>
      <c r="FM614" s="1151"/>
      <c r="FN614" s="1151"/>
      <c r="FO614" s="1151"/>
      <c r="FP614" s="1151"/>
      <c r="FQ614" s="1151"/>
      <c r="FR614" s="1151"/>
      <c r="FS614" s="1151"/>
      <c r="FT614" s="1151"/>
      <c r="FU614" s="1151"/>
      <c r="FV614" s="1151"/>
      <c r="FW614" s="1151"/>
      <c r="FX614" s="1151"/>
      <c r="FY614" s="1488"/>
      <c r="FZ614" s="1488"/>
      <c r="GA614" s="1488"/>
      <c r="GB614" s="1485"/>
      <c r="GC614" s="1485"/>
      <c r="GD614" s="1485"/>
      <c r="GE614" s="1485"/>
      <c r="GF614" s="1485"/>
      <c r="GG614" s="1485"/>
      <c r="GH614" s="1485"/>
    </row>
    <row r="615" spans="144:190" s="1295" customFormat="1" x14ac:dyDescent="0.25">
      <c r="EN615" s="1485"/>
      <c r="EO615" s="1485"/>
      <c r="EP615" s="1485"/>
      <c r="EQ615" s="1485"/>
      <c r="ER615" s="1485"/>
      <c r="ES615" s="1485"/>
      <c r="ET615" s="1485"/>
      <c r="EU615" s="1485"/>
      <c r="EV615" s="1485"/>
      <c r="EW615" s="1485"/>
      <c r="EX615" s="1486"/>
      <c r="EY615" s="1486"/>
      <c r="EZ615" s="1487"/>
      <c r="FA615" s="1487"/>
      <c r="FB615" s="1151"/>
      <c r="FC615" s="1151"/>
      <c r="FD615" s="1151"/>
      <c r="FE615" s="1151"/>
      <c r="FF615" s="1151"/>
      <c r="FG615" s="1151"/>
      <c r="FH615" s="1151"/>
      <c r="FI615" s="1151"/>
      <c r="FJ615" s="1151"/>
      <c r="FK615" s="1151"/>
      <c r="FL615" s="1151"/>
      <c r="FM615" s="1151"/>
      <c r="FN615" s="1151"/>
      <c r="FO615" s="1151"/>
      <c r="FP615" s="1151"/>
      <c r="FQ615" s="1151"/>
      <c r="FR615" s="1151"/>
      <c r="FS615" s="1151"/>
      <c r="FT615" s="1151"/>
      <c r="FU615" s="1151"/>
      <c r="FV615" s="1151"/>
      <c r="FW615" s="1151"/>
      <c r="FX615" s="1151"/>
      <c r="FY615" s="1488"/>
      <c r="FZ615" s="1488"/>
      <c r="GA615" s="1488"/>
      <c r="GB615" s="1485"/>
      <c r="GC615" s="1485"/>
      <c r="GD615" s="1485"/>
      <c r="GE615" s="1485"/>
      <c r="GF615" s="1485"/>
      <c r="GG615" s="1485"/>
      <c r="GH615" s="1485"/>
    </row>
    <row r="616" spans="144:190" s="1295" customFormat="1" x14ac:dyDescent="0.25">
      <c r="EN616" s="1485"/>
      <c r="EO616" s="1485"/>
      <c r="EP616" s="1485"/>
      <c r="EQ616" s="1485"/>
      <c r="ER616" s="1485"/>
      <c r="ES616" s="1485"/>
      <c r="ET616" s="1485"/>
      <c r="EU616" s="1485"/>
      <c r="EV616" s="1485"/>
      <c r="EW616" s="1485"/>
      <c r="EX616" s="1486"/>
      <c r="EY616" s="1486"/>
      <c r="EZ616" s="1487"/>
      <c r="FA616" s="1487"/>
      <c r="FB616" s="1151"/>
      <c r="FC616" s="1151"/>
      <c r="FD616" s="1151"/>
      <c r="FE616" s="1151"/>
      <c r="FF616" s="1151"/>
      <c r="FG616" s="1151"/>
      <c r="FH616" s="1151"/>
      <c r="FI616" s="1151"/>
      <c r="FJ616" s="1151"/>
      <c r="FK616" s="1151"/>
      <c r="FL616" s="1151"/>
      <c r="FM616" s="1151"/>
      <c r="FN616" s="1151"/>
      <c r="FO616" s="1151"/>
      <c r="FP616" s="1151"/>
      <c r="FQ616" s="1151"/>
      <c r="FR616" s="1151"/>
      <c r="FS616" s="1151"/>
      <c r="FT616" s="1151"/>
      <c r="FU616" s="1151"/>
      <c r="FV616" s="1151"/>
      <c r="FW616" s="1151"/>
      <c r="FX616" s="1151"/>
      <c r="FY616" s="1488"/>
      <c r="FZ616" s="1488"/>
      <c r="GA616" s="1488"/>
      <c r="GB616" s="1485"/>
      <c r="GC616" s="1485"/>
      <c r="GD616" s="1485"/>
      <c r="GE616" s="1485"/>
      <c r="GF616" s="1485"/>
      <c r="GG616" s="1485"/>
      <c r="GH616" s="1485"/>
    </row>
    <row r="617" spans="144:190" s="1295" customFormat="1" x14ac:dyDescent="0.25">
      <c r="EN617" s="1485"/>
      <c r="EO617" s="1485"/>
      <c r="EP617" s="1485"/>
      <c r="EQ617" s="1485"/>
      <c r="ER617" s="1485"/>
      <c r="ES617" s="1485"/>
      <c r="ET617" s="1485"/>
      <c r="EU617" s="1485"/>
      <c r="EV617" s="1485"/>
      <c r="EW617" s="1485"/>
      <c r="EX617" s="1486"/>
      <c r="EY617" s="1486"/>
      <c r="EZ617" s="1487"/>
      <c r="FA617" s="1487"/>
      <c r="FB617" s="1151"/>
      <c r="FC617" s="1151"/>
      <c r="FD617" s="1151"/>
      <c r="FE617" s="1151"/>
      <c r="FF617" s="1151"/>
      <c r="FG617" s="1151"/>
      <c r="FH617" s="1151"/>
      <c r="FI617" s="1151"/>
      <c r="FJ617" s="1151"/>
      <c r="FK617" s="1151"/>
      <c r="FL617" s="1151"/>
      <c r="FM617" s="1151"/>
      <c r="FN617" s="1151"/>
      <c r="FO617" s="1151"/>
      <c r="FP617" s="1151"/>
      <c r="FQ617" s="1151"/>
      <c r="FR617" s="1151"/>
      <c r="FS617" s="1151"/>
      <c r="FT617" s="1151"/>
      <c r="FU617" s="1151"/>
      <c r="FV617" s="1151"/>
      <c r="FW617" s="1151"/>
      <c r="FX617" s="1151"/>
      <c r="FY617" s="1488"/>
      <c r="FZ617" s="1488"/>
      <c r="GA617" s="1488"/>
      <c r="GB617" s="1485"/>
      <c r="GC617" s="1485"/>
      <c r="GD617" s="1485"/>
      <c r="GE617" s="1485"/>
      <c r="GF617" s="1485"/>
      <c r="GG617" s="1485"/>
      <c r="GH617" s="1485"/>
    </row>
    <row r="618" spans="144:190" s="1295" customFormat="1" x14ac:dyDescent="0.25">
      <c r="EN618" s="1485"/>
      <c r="EO618" s="1485"/>
      <c r="EP618" s="1485"/>
      <c r="EQ618" s="1485"/>
      <c r="ER618" s="1485"/>
      <c r="ES618" s="1485"/>
      <c r="ET618" s="1485"/>
      <c r="EU618" s="1485"/>
      <c r="EV618" s="1485"/>
      <c r="EW618" s="1485"/>
      <c r="EX618" s="1486"/>
      <c r="EY618" s="1486"/>
      <c r="EZ618" s="1487"/>
      <c r="FA618" s="1487"/>
      <c r="FB618" s="1151"/>
      <c r="FC618" s="1151"/>
      <c r="FD618" s="1151"/>
      <c r="FE618" s="1151"/>
      <c r="FF618" s="1151"/>
      <c r="FG618" s="1151"/>
      <c r="FH618" s="1151"/>
      <c r="FI618" s="1151"/>
      <c r="FJ618" s="1151"/>
      <c r="FK618" s="1151"/>
      <c r="FL618" s="1151"/>
      <c r="FM618" s="1151"/>
      <c r="FN618" s="1151"/>
      <c r="FO618" s="1151"/>
      <c r="FP618" s="1151"/>
      <c r="FQ618" s="1151"/>
      <c r="FR618" s="1151"/>
      <c r="FS618" s="1151"/>
      <c r="FT618" s="1151"/>
      <c r="FU618" s="1151"/>
      <c r="FV618" s="1151"/>
      <c r="FW618" s="1151"/>
      <c r="FX618" s="1151"/>
      <c r="FY618" s="1488"/>
      <c r="FZ618" s="1488"/>
      <c r="GA618" s="1488"/>
      <c r="GB618" s="1485"/>
      <c r="GC618" s="1485"/>
      <c r="GD618" s="1485"/>
      <c r="GE618" s="1485"/>
      <c r="GF618" s="1485"/>
      <c r="GG618" s="1485"/>
      <c r="GH618" s="1485"/>
    </row>
    <row r="619" spans="144:190" s="1295" customFormat="1" x14ac:dyDescent="0.25">
      <c r="EN619" s="1485"/>
      <c r="EO619" s="1485"/>
      <c r="EP619" s="1485"/>
      <c r="EQ619" s="1485"/>
      <c r="ER619" s="1485"/>
      <c r="ES619" s="1485"/>
      <c r="ET619" s="1485"/>
      <c r="EU619" s="1485"/>
      <c r="EV619" s="1485"/>
      <c r="EW619" s="1485"/>
      <c r="EX619" s="1486"/>
      <c r="EY619" s="1486"/>
      <c r="EZ619" s="1487"/>
      <c r="FA619" s="1487"/>
      <c r="FB619" s="1151"/>
      <c r="FC619" s="1151"/>
      <c r="FD619" s="1151"/>
      <c r="FE619" s="1151"/>
      <c r="FF619" s="1151"/>
      <c r="FG619" s="1151"/>
      <c r="FH619" s="1151"/>
      <c r="FI619" s="1151"/>
      <c r="FJ619" s="1151"/>
      <c r="FK619" s="1151"/>
      <c r="FL619" s="1151"/>
      <c r="FM619" s="1151"/>
      <c r="FN619" s="1151"/>
      <c r="FO619" s="1151"/>
      <c r="FP619" s="1151"/>
      <c r="FQ619" s="1151"/>
      <c r="FR619" s="1151"/>
      <c r="FS619" s="1151"/>
      <c r="FT619" s="1151"/>
      <c r="FU619" s="1151"/>
      <c r="FV619" s="1151"/>
      <c r="FW619" s="1151"/>
      <c r="FX619" s="1151"/>
      <c r="FY619" s="1488"/>
      <c r="FZ619" s="1488"/>
      <c r="GA619" s="1488"/>
      <c r="GB619" s="1485"/>
      <c r="GC619" s="1485"/>
      <c r="GD619" s="1485"/>
      <c r="GE619" s="1485"/>
      <c r="GF619" s="1485"/>
      <c r="GG619" s="1485"/>
      <c r="GH619" s="1485"/>
    </row>
    <row r="620" spans="144:190" s="1295" customFormat="1" x14ac:dyDescent="0.25">
      <c r="EN620" s="1485"/>
      <c r="EO620" s="1485"/>
      <c r="EP620" s="1485"/>
      <c r="EQ620" s="1485"/>
      <c r="ER620" s="1485"/>
      <c r="ES620" s="1485"/>
      <c r="ET620" s="1485"/>
      <c r="EU620" s="1485"/>
      <c r="EV620" s="1485"/>
      <c r="EW620" s="1485"/>
      <c r="EX620" s="1486"/>
      <c r="EY620" s="1486"/>
      <c r="EZ620" s="1487"/>
      <c r="FA620" s="1487"/>
      <c r="FB620" s="1151"/>
      <c r="FC620" s="1151"/>
      <c r="FD620" s="1151"/>
      <c r="FE620" s="1151"/>
      <c r="FF620" s="1151"/>
      <c r="FG620" s="1151"/>
      <c r="FH620" s="1151"/>
      <c r="FI620" s="1151"/>
      <c r="FJ620" s="1151"/>
      <c r="FK620" s="1151"/>
      <c r="FL620" s="1151"/>
      <c r="FM620" s="1151"/>
      <c r="FN620" s="1151"/>
      <c r="FO620" s="1151"/>
      <c r="FP620" s="1151"/>
      <c r="FQ620" s="1151"/>
      <c r="FR620" s="1151"/>
      <c r="FS620" s="1151"/>
      <c r="FT620" s="1151"/>
      <c r="FU620" s="1151"/>
      <c r="FV620" s="1151"/>
      <c r="FW620" s="1151"/>
      <c r="FX620" s="1151"/>
      <c r="FY620" s="1488"/>
      <c r="FZ620" s="1488"/>
      <c r="GA620" s="1488"/>
      <c r="GB620" s="1485"/>
      <c r="GC620" s="1485"/>
      <c r="GD620" s="1485"/>
      <c r="GE620" s="1485"/>
      <c r="GF620" s="1485"/>
      <c r="GG620" s="1485"/>
      <c r="GH620" s="1485"/>
    </row>
    <row r="621" spans="144:190" s="1295" customFormat="1" x14ac:dyDescent="0.25">
      <c r="EN621" s="1485"/>
      <c r="EO621" s="1485"/>
      <c r="EP621" s="1485"/>
      <c r="EQ621" s="1485"/>
      <c r="ER621" s="1485"/>
      <c r="ES621" s="1485"/>
      <c r="ET621" s="1485"/>
      <c r="EU621" s="1485"/>
      <c r="EV621" s="1485"/>
      <c r="EW621" s="1485"/>
      <c r="EX621" s="1486"/>
      <c r="EY621" s="1486"/>
      <c r="EZ621" s="1487"/>
      <c r="FA621" s="1487"/>
      <c r="FB621" s="1151"/>
      <c r="FC621" s="1151"/>
      <c r="FD621" s="1151"/>
      <c r="FE621" s="1151"/>
      <c r="FF621" s="1151"/>
      <c r="FG621" s="1151"/>
      <c r="FH621" s="1151"/>
      <c r="FI621" s="1151"/>
      <c r="FJ621" s="1151"/>
      <c r="FK621" s="1151"/>
      <c r="FL621" s="1151"/>
      <c r="FM621" s="1151"/>
      <c r="FN621" s="1151"/>
      <c r="FO621" s="1151"/>
      <c r="FP621" s="1151"/>
      <c r="FQ621" s="1151"/>
      <c r="FR621" s="1151"/>
      <c r="FS621" s="1151"/>
      <c r="FT621" s="1151"/>
      <c r="FU621" s="1151"/>
      <c r="FV621" s="1151"/>
      <c r="FW621" s="1151"/>
      <c r="FX621" s="1151"/>
      <c r="FY621" s="1488"/>
      <c r="FZ621" s="1488"/>
      <c r="GA621" s="1488"/>
      <c r="GB621" s="1485"/>
      <c r="GC621" s="1485"/>
      <c r="GD621" s="1485"/>
      <c r="GE621" s="1485"/>
      <c r="GF621" s="1485"/>
      <c r="GG621" s="1485"/>
      <c r="GH621" s="1485"/>
    </row>
    <row r="622" spans="144:190" s="1295" customFormat="1" x14ac:dyDescent="0.25">
      <c r="EN622" s="1485"/>
      <c r="EO622" s="1485"/>
      <c r="EP622" s="1485"/>
      <c r="EQ622" s="1485"/>
      <c r="ER622" s="1485"/>
      <c r="ES622" s="1485"/>
      <c r="ET622" s="1485"/>
      <c r="EU622" s="1485"/>
      <c r="EV622" s="1485"/>
      <c r="EW622" s="1485"/>
      <c r="EX622" s="1486"/>
      <c r="EY622" s="1486"/>
      <c r="EZ622" s="1487"/>
      <c r="FA622" s="1487"/>
      <c r="FB622" s="1151"/>
      <c r="FC622" s="1151"/>
      <c r="FD622" s="1151"/>
      <c r="FE622" s="1151"/>
      <c r="FF622" s="1151"/>
      <c r="FG622" s="1151"/>
      <c r="FH622" s="1151"/>
      <c r="FI622" s="1151"/>
      <c r="FJ622" s="1151"/>
      <c r="FK622" s="1151"/>
      <c r="FL622" s="1151"/>
      <c r="FM622" s="1151"/>
      <c r="FN622" s="1151"/>
      <c r="FO622" s="1151"/>
      <c r="FP622" s="1151"/>
      <c r="FQ622" s="1151"/>
      <c r="FR622" s="1151"/>
      <c r="FS622" s="1151"/>
      <c r="FT622" s="1151"/>
      <c r="FU622" s="1151"/>
      <c r="FV622" s="1151"/>
      <c r="FW622" s="1151"/>
      <c r="FX622" s="1151"/>
      <c r="FY622" s="1488"/>
      <c r="FZ622" s="1488"/>
      <c r="GA622" s="1488"/>
      <c r="GB622" s="1485"/>
      <c r="GC622" s="1485"/>
      <c r="GD622" s="1485"/>
      <c r="GE622" s="1485"/>
      <c r="GF622" s="1485"/>
      <c r="GG622" s="1485"/>
      <c r="GH622" s="1485"/>
    </row>
    <row r="623" spans="144:190" s="1295" customFormat="1" x14ac:dyDescent="0.25">
      <c r="EN623" s="1485"/>
      <c r="EO623" s="1485"/>
      <c r="EP623" s="1485"/>
      <c r="EQ623" s="1485"/>
      <c r="ER623" s="1485"/>
      <c r="ES623" s="1485"/>
      <c r="ET623" s="1485"/>
      <c r="EU623" s="1485"/>
      <c r="EV623" s="1485"/>
      <c r="EW623" s="1485"/>
      <c r="EX623" s="1486"/>
      <c r="EY623" s="1486"/>
      <c r="EZ623" s="1487"/>
      <c r="FA623" s="1487"/>
      <c r="FB623" s="1151"/>
      <c r="FC623" s="1151"/>
      <c r="FD623" s="1151"/>
      <c r="FE623" s="1151"/>
      <c r="FF623" s="1151"/>
      <c r="FG623" s="1151"/>
      <c r="FH623" s="1151"/>
      <c r="FI623" s="1151"/>
      <c r="FJ623" s="1151"/>
      <c r="FK623" s="1151"/>
      <c r="FL623" s="1151"/>
      <c r="FM623" s="1151"/>
      <c r="FN623" s="1151"/>
      <c r="FO623" s="1151"/>
      <c r="FP623" s="1151"/>
      <c r="FQ623" s="1151"/>
      <c r="FR623" s="1151"/>
      <c r="FS623" s="1151"/>
      <c r="FT623" s="1151"/>
      <c r="FU623" s="1151"/>
      <c r="FV623" s="1151"/>
      <c r="FW623" s="1151"/>
      <c r="FX623" s="1151"/>
      <c r="FY623" s="1488"/>
      <c r="FZ623" s="1488"/>
      <c r="GA623" s="1488"/>
      <c r="GB623" s="1485"/>
      <c r="GC623" s="1485"/>
      <c r="GD623" s="1485"/>
      <c r="GE623" s="1485"/>
      <c r="GF623" s="1485"/>
      <c r="GG623" s="1485"/>
      <c r="GH623" s="1485"/>
    </row>
    <row r="624" spans="144:190" s="1295" customFormat="1" x14ac:dyDescent="0.25">
      <c r="EN624" s="1485"/>
      <c r="EO624" s="1485"/>
      <c r="EP624" s="1485"/>
      <c r="EQ624" s="1485"/>
      <c r="ER624" s="1485"/>
      <c r="ES624" s="1485"/>
      <c r="ET624" s="1485"/>
      <c r="EU624" s="1485"/>
      <c r="EV624" s="1485"/>
      <c r="EW624" s="1485"/>
      <c r="EX624" s="1486"/>
      <c r="EY624" s="1486"/>
      <c r="EZ624" s="1487"/>
      <c r="FA624" s="1487"/>
      <c r="FB624" s="1151"/>
      <c r="FC624" s="1151"/>
      <c r="FD624" s="1151"/>
      <c r="FE624" s="1151"/>
      <c r="FF624" s="1151"/>
      <c r="FG624" s="1151"/>
      <c r="FH624" s="1151"/>
      <c r="FI624" s="1151"/>
      <c r="FJ624" s="1151"/>
      <c r="FK624" s="1151"/>
      <c r="FL624" s="1151"/>
      <c r="FM624" s="1151"/>
      <c r="FN624" s="1151"/>
      <c r="FO624" s="1151"/>
      <c r="FP624" s="1151"/>
      <c r="FQ624" s="1151"/>
      <c r="FR624" s="1151"/>
      <c r="FS624" s="1151"/>
      <c r="FT624" s="1151"/>
      <c r="FU624" s="1151"/>
      <c r="FV624" s="1151"/>
      <c r="FW624" s="1151"/>
      <c r="FX624" s="1151"/>
      <c r="FY624" s="1488"/>
      <c r="FZ624" s="1488"/>
      <c r="GA624" s="1488"/>
      <c r="GB624" s="1485"/>
      <c r="GC624" s="1485"/>
      <c r="GD624" s="1485"/>
      <c r="GE624" s="1485"/>
      <c r="GF624" s="1485"/>
      <c r="GG624" s="1485"/>
      <c r="GH624" s="1485"/>
    </row>
    <row r="625" spans="144:190" s="1295" customFormat="1" x14ac:dyDescent="0.25">
      <c r="EN625" s="1485"/>
      <c r="EO625" s="1485"/>
      <c r="EP625" s="1485"/>
      <c r="EQ625" s="1485"/>
      <c r="ER625" s="1485"/>
      <c r="ES625" s="1485"/>
      <c r="ET625" s="1485"/>
      <c r="EU625" s="1485"/>
      <c r="EV625" s="1485"/>
      <c r="EW625" s="1485"/>
      <c r="EX625" s="1486"/>
      <c r="EY625" s="1486"/>
      <c r="EZ625" s="1487"/>
      <c r="FA625" s="1487"/>
      <c r="FB625" s="1151"/>
      <c r="FC625" s="1151"/>
      <c r="FD625" s="1151"/>
      <c r="FE625" s="1151"/>
      <c r="FF625" s="1151"/>
      <c r="FG625" s="1151"/>
      <c r="FH625" s="1151"/>
      <c r="FI625" s="1151"/>
      <c r="FJ625" s="1151"/>
      <c r="FK625" s="1151"/>
      <c r="FL625" s="1151"/>
      <c r="FM625" s="1151"/>
      <c r="FN625" s="1151"/>
      <c r="FO625" s="1151"/>
      <c r="FP625" s="1151"/>
      <c r="FQ625" s="1151"/>
      <c r="FR625" s="1151"/>
      <c r="FS625" s="1151"/>
      <c r="FT625" s="1151"/>
      <c r="FU625" s="1151"/>
      <c r="FV625" s="1151"/>
      <c r="FW625" s="1151"/>
      <c r="FX625" s="1151"/>
      <c r="FY625" s="1488"/>
      <c r="FZ625" s="1488"/>
      <c r="GA625" s="1488"/>
      <c r="GB625" s="1485"/>
      <c r="GC625" s="1485"/>
      <c r="GD625" s="1485"/>
      <c r="GE625" s="1485"/>
      <c r="GF625" s="1485"/>
      <c r="GG625" s="1485"/>
      <c r="GH625" s="1485"/>
    </row>
    <row r="626" spans="144:190" s="1295" customFormat="1" x14ac:dyDescent="0.25">
      <c r="EN626" s="1485"/>
      <c r="EO626" s="1485"/>
      <c r="EP626" s="1485"/>
      <c r="EQ626" s="1485"/>
      <c r="ER626" s="1485"/>
      <c r="ES626" s="1485"/>
      <c r="ET626" s="1485"/>
      <c r="EU626" s="1485"/>
      <c r="EV626" s="1485"/>
      <c r="EW626" s="1485"/>
      <c r="EX626" s="1486"/>
      <c r="EY626" s="1486"/>
      <c r="EZ626" s="1487"/>
      <c r="FA626" s="1487"/>
      <c r="FB626" s="1151"/>
      <c r="FC626" s="1151"/>
      <c r="FD626" s="1151"/>
      <c r="FE626" s="1151"/>
      <c r="FF626" s="1151"/>
      <c r="FG626" s="1151"/>
      <c r="FH626" s="1151"/>
      <c r="FI626" s="1151"/>
      <c r="FJ626" s="1151"/>
      <c r="FK626" s="1151"/>
      <c r="FL626" s="1151"/>
      <c r="FM626" s="1151"/>
      <c r="FN626" s="1151"/>
      <c r="FO626" s="1151"/>
      <c r="FP626" s="1151"/>
      <c r="FQ626" s="1151"/>
      <c r="FR626" s="1151"/>
      <c r="FS626" s="1151"/>
      <c r="FT626" s="1151"/>
      <c r="FU626" s="1151"/>
      <c r="FV626" s="1151"/>
      <c r="FW626" s="1151"/>
      <c r="FX626" s="1151"/>
      <c r="FY626" s="1488"/>
      <c r="FZ626" s="1488"/>
      <c r="GA626" s="1488"/>
      <c r="GB626" s="1485"/>
      <c r="GC626" s="1485"/>
      <c r="GD626" s="1485"/>
      <c r="GE626" s="1485"/>
      <c r="GF626" s="1485"/>
      <c r="GG626" s="1485"/>
      <c r="GH626" s="1485"/>
    </row>
    <row r="627" spans="144:190" s="1295" customFormat="1" x14ac:dyDescent="0.25">
      <c r="EN627" s="1485"/>
      <c r="EO627" s="1485"/>
      <c r="EP627" s="1485"/>
      <c r="EQ627" s="1485"/>
      <c r="ER627" s="1485"/>
      <c r="ES627" s="1485"/>
      <c r="ET627" s="1485"/>
      <c r="EU627" s="1485"/>
      <c r="EV627" s="1485"/>
      <c r="EW627" s="1485"/>
      <c r="EX627" s="1486"/>
      <c r="EY627" s="1486"/>
      <c r="EZ627" s="1487"/>
      <c r="FA627" s="1487"/>
      <c r="FB627" s="1151"/>
      <c r="FC627" s="1151"/>
      <c r="FD627" s="1151"/>
      <c r="FE627" s="1151"/>
      <c r="FF627" s="1151"/>
      <c r="FG627" s="1151"/>
      <c r="FH627" s="1151"/>
      <c r="FI627" s="1151"/>
      <c r="FJ627" s="1151"/>
      <c r="FK627" s="1151"/>
      <c r="FL627" s="1151"/>
      <c r="FM627" s="1151"/>
      <c r="FN627" s="1151"/>
      <c r="FO627" s="1151"/>
      <c r="FP627" s="1151"/>
      <c r="FQ627" s="1151"/>
      <c r="FR627" s="1151"/>
      <c r="FS627" s="1151"/>
      <c r="FT627" s="1151"/>
      <c r="FU627" s="1151"/>
      <c r="FV627" s="1151"/>
      <c r="FW627" s="1151"/>
      <c r="FX627" s="1151"/>
      <c r="FY627" s="1488"/>
      <c r="FZ627" s="1488"/>
      <c r="GA627" s="1488"/>
      <c r="GB627" s="1485"/>
      <c r="GC627" s="1485"/>
      <c r="GD627" s="1485"/>
      <c r="GE627" s="1485"/>
      <c r="GF627" s="1485"/>
      <c r="GG627" s="1485"/>
      <c r="GH627" s="1485"/>
    </row>
    <row r="628" spans="144:190" s="1295" customFormat="1" x14ac:dyDescent="0.25">
      <c r="EN628" s="1485"/>
      <c r="EO628" s="1485"/>
      <c r="EP628" s="1485"/>
      <c r="EQ628" s="1485"/>
      <c r="ER628" s="1485"/>
      <c r="ES628" s="1485"/>
      <c r="ET628" s="1485"/>
      <c r="EU628" s="1485"/>
      <c r="EV628" s="1485"/>
      <c r="EW628" s="1485"/>
      <c r="EX628" s="1486"/>
      <c r="EY628" s="1486"/>
      <c r="EZ628" s="1487"/>
      <c r="FA628" s="1487"/>
      <c r="FB628" s="1151"/>
      <c r="FC628" s="1151"/>
      <c r="FD628" s="1151"/>
      <c r="FE628" s="1151"/>
      <c r="FF628" s="1151"/>
      <c r="FG628" s="1151"/>
      <c r="FH628" s="1151"/>
      <c r="FI628" s="1151"/>
      <c r="FJ628" s="1151"/>
      <c r="FK628" s="1151"/>
      <c r="FL628" s="1151"/>
      <c r="FM628" s="1151"/>
      <c r="FN628" s="1151"/>
      <c r="FO628" s="1151"/>
      <c r="FP628" s="1151"/>
      <c r="FQ628" s="1151"/>
      <c r="FR628" s="1151"/>
      <c r="FS628" s="1151"/>
      <c r="FT628" s="1151"/>
      <c r="FU628" s="1151"/>
      <c r="FV628" s="1151"/>
      <c r="FW628" s="1151"/>
      <c r="FX628" s="1151"/>
      <c r="FY628" s="1488"/>
      <c r="FZ628" s="1488"/>
      <c r="GA628" s="1488"/>
      <c r="GB628" s="1485"/>
      <c r="GC628" s="1485"/>
      <c r="GD628" s="1485"/>
      <c r="GE628" s="1485"/>
      <c r="GF628" s="1485"/>
      <c r="GG628" s="1485"/>
      <c r="GH628" s="1485"/>
    </row>
    <row r="629" spans="144:190" s="1295" customFormat="1" x14ac:dyDescent="0.25">
      <c r="EN629" s="1485"/>
      <c r="EO629" s="1485"/>
      <c r="EP629" s="1485"/>
      <c r="EQ629" s="1485"/>
      <c r="ER629" s="1485"/>
      <c r="ES629" s="1485"/>
      <c r="ET629" s="1485"/>
      <c r="EU629" s="1485"/>
      <c r="EV629" s="1485"/>
      <c r="EW629" s="1485"/>
      <c r="EX629" s="1486"/>
      <c r="EY629" s="1486"/>
      <c r="EZ629" s="1487"/>
      <c r="FA629" s="1487"/>
      <c r="FB629" s="1151"/>
      <c r="FC629" s="1151"/>
      <c r="FD629" s="1151"/>
      <c r="FE629" s="1151"/>
      <c r="FF629" s="1151"/>
      <c r="FG629" s="1151"/>
      <c r="FH629" s="1151"/>
      <c r="FI629" s="1151"/>
      <c r="FJ629" s="1151"/>
      <c r="FK629" s="1151"/>
      <c r="FL629" s="1151"/>
      <c r="FM629" s="1151"/>
      <c r="FN629" s="1151"/>
      <c r="FO629" s="1151"/>
      <c r="FP629" s="1151"/>
      <c r="FQ629" s="1151"/>
      <c r="FR629" s="1151"/>
      <c r="FS629" s="1151"/>
      <c r="FT629" s="1151"/>
      <c r="FU629" s="1151"/>
      <c r="FV629" s="1151"/>
      <c r="FW629" s="1151"/>
      <c r="FX629" s="1151"/>
      <c r="FY629" s="1488"/>
      <c r="FZ629" s="1488"/>
      <c r="GA629" s="1488"/>
      <c r="GB629" s="1485"/>
      <c r="GC629" s="1485"/>
      <c r="GD629" s="1485"/>
      <c r="GE629" s="1485"/>
      <c r="GF629" s="1485"/>
      <c r="GG629" s="1485"/>
      <c r="GH629" s="1485"/>
    </row>
    <row r="630" spans="144:190" s="1295" customFormat="1" x14ac:dyDescent="0.25">
      <c r="EN630" s="1485"/>
      <c r="EO630" s="1485"/>
      <c r="EP630" s="1485"/>
      <c r="EQ630" s="1485"/>
      <c r="ER630" s="1485"/>
      <c r="ES630" s="1485"/>
      <c r="ET630" s="1485"/>
      <c r="EU630" s="1485"/>
      <c r="EV630" s="1485"/>
      <c r="EW630" s="1485"/>
      <c r="EX630" s="1486"/>
      <c r="EY630" s="1486"/>
      <c r="EZ630" s="1487"/>
      <c r="FA630" s="1487"/>
      <c r="FB630" s="1151"/>
      <c r="FC630" s="1151"/>
      <c r="FD630" s="1151"/>
      <c r="FE630" s="1151"/>
      <c r="FF630" s="1151"/>
      <c r="FG630" s="1151"/>
      <c r="FH630" s="1151"/>
      <c r="FI630" s="1151"/>
      <c r="FJ630" s="1151"/>
      <c r="FK630" s="1151"/>
      <c r="FL630" s="1151"/>
      <c r="FM630" s="1151"/>
      <c r="FN630" s="1151"/>
      <c r="FO630" s="1151"/>
      <c r="FP630" s="1151"/>
      <c r="FQ630" s="1151"/>
      <c r="FR630" s="1151"/>
      <c r="FS630" s="1151"/>
      <c r="FT630" s="1151"/>
      <c r="FU630" s="1151"/>
      <c r="FV630" s="1151"/>
      <c r="FW630" s="1151"/>
      <c r="FX630" s="1151"/>
      <c r="FY630" s="1488"/>
      <c r="FZ630" s="1488"/>
      <c r="GA630" s="1488"/>
      <c r="GB630" s="1485"/>
      <c r="GC630" s="1485"/>
      <c r="GD630" s="1485"/>
      <c r="GE630" s="1485"/>
      <c r="GF630" s="1485"/>
      <c r="GG630" s="1485"/>
      <c r="GH630" s="1485"/>
    </row>
    <row r="631" spans="144:190" s="1295" customFormat="1" x14ac:dyDescent="0.25">
      <c r="EN631" s="1485"/>
      <c r="EO631" s="1485"/>
      <c r="EP631" s="1485"/>
      <c r="EQ631" s="1485"/>
      <c r="ER631" s="1485"/>
      <c r="ES631" s="1485"/>
      <c r="ET631" s="1485"/>
      <c r="EU631" s="1485"/>
      <c r="EV631" s="1485"/>
      <c r="EW631" s="1485"/>
      <c r="EX631" s="1486"/>
      <c r="EY631" s="1486"/>
      <c r="EZ631" s="1487"/>
      <c r="FA631" s="1487"/>
      <c r="FB631" s="1151"/>
      <c r="FC631" s="1151"/>
      <c r="FD631" s="1151"/>
      <c r="FE631" s="1151"/>
      <c r="FF631" s="1151"/>
      <c r="FG631" s="1151"/>
      <c r="FH631" s="1151"/>
      <c r="FI631" s="1151"/>
      <c r="FJ631" s="1151"/>
      <c r="FK631" s="1151"/>
      <c r="FL631" s="1151"/>
      <c r="FM631" s="1151"/>
      <c r="FN631" s="1151"/>
      <c r="FO631" s="1151"/>
      <c r="FP631" s="1151"/>
      <c r="FQ631" s="1151"/>
      <c r="FR631" s="1151"/>
      <c r="FS631" s="1151"/>
      <c r="FT631" s="1151"/>
      <c r="FU631" s="1151"/>
      <c r="FV631" s="1151"/>
      <c r="FW631" s="1151"/>
      <c r="FX631" s="1151"/>
      <c r="FY631" s="1488"/>
      <c r="FZ631" s="1488"/>
      <c r="GA631" s="1488"/>
      <c r="GB631" s="1485"/>
      <c r="GC631" s="1485"/>
      <c r="GD631" s="1485"/>
      <c r="GE631" s="1485"/>
      <c r="GF631" s="1485"/>
      <c r="GG631" s="1485"/>
      <c r="GH631" s="1485"/>
    </row>
    <row r="632" spans="144:190" s="1295" customFormat="1" x14ac:dyDescent="0.25">
      <c r="EN632" s="1485"/>
      <c r="EO632" s="1485"/>
      <c r="EP632" s="1485"/>
      <c r="EQ632" s="1485"/>
      <c r="ER632" s="1485"/>
      <c r="ES632" s="1485"/>
      <c r="ET632" s="1485"/>
      <c r="EU632" s="1485"/>
      <c r="EV632" s="1485"/>
      <c r="EW632" s="1485"/>
      <c r="EX632" s="1486"/>
      <c r="EY632" s="1486"/>
      <c r="EZ632" s="1487"/>
      <c r="FA632" s="1487"/>
      <c r="FB632" s="1151"/>
      <c r="FC632" s="1151"/>
      <c r="FD632" s="1151"/>
      <c r="FE632" s="1151"/>
      <c r="FF632" s="1151"/>
      <c r="FG632" s="1151"/>
      <c r="FH632" s="1151"/>
      <c r="FI632" s="1151"/>
      <c r="FJ632" s="1151"/>
      <c r="FK632" s="1151"/>
      <c r="FL632" s="1151"/>
      <c r="FM632" s="1151"/>
      <c r="FN632" s="1151"/>
      <c r="FO632" s="1151"/>
      <c r="FP632" s="1151"/>
      <c r="FQ632" s="1151"/>
      <c r="FR632" s="1151"/>
      <c r="FS632" s="1151"/>
      <c r="FT632" s="1151"/>
      <c r="FU632" s="1151"/>
      <c r="FV632" s="1151"/>
      <c r="FW632" s="1151"/>
      <c r="FX632" s="1151"/>
      <c r="FY632" s="1488"/>
      <c r="FZ632" s="1488"/>
      <c r="GA632" s="1488"/>
      <c r="GB632" s="1485"/>
      <c r="GC632" s="1485"/>
      <c r="GD632" s="1485"/>
      <c r="GE632" s="1485"/>
      <c r="GF632" s="1485"/>
      <c r="GG632" s="1485"/>
      <c r="GH632" s="1485"/>
    </row>
    <row r="633" spans="144:190" s="1295" customFormat="1" x14ac:dyDescent="0.25">
      <c r="EN633" s="1485"/>
      <c r="EO633" s="1485"/>
      <c r="EP633" s="1485"/>
      <c r="EQ633" s="1485"/>
      <c r="ER633" s="1485"/>
      <c r="ES633" s="1485"/>
      <c r="ET633" s="1485"/>
      <c r="EU633" s="1485"/>
      <c r="EV633" s="1485"/>
      <c r="EW633" s="1485"/>
      <c r="EX633" s="1486"/>
      <c r="EY633" s="1486"/>
      <c r="EZ633" s="1487"/>
      <c r="FA633" s="1487"/>
      <c r="FB633" s="1151"/>
      <c r="FC633" s="1151"/>
      <c r="FD633" s="1151"/>
      <c r="FE633" s="1151"/>
      <c r="FF633" s="1151"/>
      <c r="FG633" s="1151"/>
      <c r="FH633" s="1151"/>
      <c r="FI633" s="1151"/>
      <c r="FJ633" s="1151"/>
      <c r="FK633" s="1151"/>
      <c r="FL633" s="1151"/>
      <c r="FM633" s="1151"/>
      <c r="FN633" s="1151"/>
      <c r="FO633" s="1151"/>
      <c r="FP633" s="1151"/>
      <c r="FQ633" s="1151"/>
      <c r="FR633" s="1151"/>
      <c r="FS633" s="1151"/>
      <c r="FT633" s="1151"/>
      <c r="FU633" s="1151"/>
      <c r="FV633" s="1151"/>
      <c r="FW633" s="1151"/>
      <c r="FX633" s="1151"/>
      <c r="FY633" s="1488"/>
      <c r="FZ633" s="1488"/>
      <c r="GA633" s="1488"/>
      <c r="GB633" s="1485"/>
      <c r="GC633" s="1485"/>
      <c r="GD633" s="1485"/>
      <c r="GE633" s="1485"/>
      <c r="GF633" s="1485"/>
      <c r="GG633" s="1485"/>
      <c r="GH633" s="1485"/>
    </row>
    <row r="634" spans="144:190" s="1295" customFormat="1" x14ac:dyDescent="0.25">
      <c r="EN634" s="1485"/>
      <c r="EO634" s="1485"/>
      <c r="EP634" s="1485"/>
      <c r="EQ634" s="1485"/>
      <c r="ER634" s="1485"/>
      <c r="ES634" s="1485"/>
      <c r="ET634" s="1485"/>
      <c r="EU634" s="1485"/>
      <c r="EV634" s="1485"/>
      <c r="EW634" s="1485"/>
      <c r="EX634" s="1486"/>
      <c r="EY634" s="1486"/>
      <c r="EZ634" s="1487"/>
      <c r="FA634" s="1487"/>
      <c r="FB634" s="1151"/>
      <c r="FC634" s="1151"/>
      <c r="FD634" s="1151"/>
      <c r="FE634" s="1151"/>
      <c r="FF634" s="1151"/>
      <c r="FG634" s="1151"/>
      <c r="FH634" s="1151"/>
      <c r="FI634" s="1151"/>
      <c r="FJ634" s="1151"/>
      <c r="FK634" s="1151"/>
      <c r="FL634" s="1151"/>
      <c r="FM634" s="1151"/>
      <c r="FN634" s="1151"/>
      <c r="FO634" s="1151"/>
      <c r="FP634" s="1151"/>
      <c r="FQ634" s="1151"/>
      <c r="FR634" s="1151"/>
      <c r="FS634" s="1151"/>
      <c r="FT634" s="1151"/>
      <c r="FU634" s="1151"/>
      <c r="FV634" s="1151"/>
      <c r="FW634" s="1151"/>
      <c r="FX634" s="1151"/>
      <c r="FY634" s="1488"/>
      <c r="FZ634" s="1488"/>
      <c r="GA634" s="1488"/>
      <c r="GB634" s="1485"/>
      <c r="GC634" s="1485"/>
      <c r="GD634" s="1485"/>
      <c r="GE634" s="1485"/>
      <c r="GF634" s="1485"/>
      <c r="GG634" s="1485"/>
      <c r="GH634" s="1485"/>
    </row>
    <row r="635" spans="144:190" s="1295" customFormat="1" x14ac:dyDescent="0.25">
      <c r="EN635" s="1485"/>
      <c r="EO635" s="1485"/>
      <c r="EP635" s="1485"/>
      <c r="EQ635" s="1485"/>
      <c r="ER635" s="1485"/>
      <c r="ES635" s="1485"/>
      <c r="ET635" s="1485"/>
      <c r="EU635" s="1485"/>
      <c r="EV635" s="1485"/>
      <c r="EW635" s="1485"/>
      <c r="EX635" s="1486"/>
      <c r="EY635" s="1486"/>
      <c r="EZ635" s="1487"/>
      <c r="FA635" s="1487"/>
      <c r="FB635" s="1151"/>
      <c r="FC635" s="1151"/>
      <c r="FD635" s="1151"/>
      <c r="FE635" s="1151"/>
      <c r="FF635" s="1151"/>
      <c r="FG635" s="1151"/>
      <c r="FH635" s="1151"/>
      <c r="FI635" s="1151"/>
      <c r="FJ635" s="1151"/>
      <c r="FK635" s="1151"/>
      <c r="FL635" s="1151"/>
      <c r="FM635" s="1151"/>
      <c r="FN635" s="1151"/>
      <c r="FO635" s="1151"/>
      <c r="FP635" s="1151"/>
      <c r="FQ635" s="1151"/>
      <c r="FR635" s="1151"/>
      <c r="FS635" s="1151"/>
      <c r="FT635" s="1151"/>
      <c r="FU635" s="1151"/>
      <c r="FV635" s="1151"/>
      <c r="FW635" s="1151"/>
      <c r="FX635" s="1151"/>
      <c r="FY635" s="1488"/>
      <c r="FZ635" s="1488"/>
      <c r="GA635" s="1488"/>
      <c r="GB635" s="1485"/>
      <c r="GC635" s="1485"/>
      <c r="GD635" s="1485"/>
      <c r="GE635" s="1485"/>
      <c r="GF635" s="1485"/>
      <c r="GG635" s="1485"/>
      <c r="GH635" s="1485"/>
    </row>
    <row r="636" spans="144:190" s="1295" customFormat="1" x14ac:dyDescent="0.25">
      <c r="EN636" s="1485"/>
      <c r="EO636" s="1485"/>
      <c r="EP636" s="1485"/>
      <c r="EQ636" s="1485"/>
      <c r="ER636" s="1485"/>
      <c r="ES636" s="1485"/>
      <c r="ET636" s="1485"/>
      <c r="EU636" s="1485"/>
      <c r="EV636" s="1485"/>
      <c r="EW636" s="1485"/>
      <c r="EX636" s="1486"/>
      <c r="EY636" s="1486"/>
      <c r="EZ636" s="1487"/>
      <c r="FA636" s="1487"/>
      <c r="FB636" s="1151"/>
      <c r="FC636" s="1151"/>
      <c r="FD636" s="1151"/>
      <c r="FE636" s="1151"/>
      <c r="FF636" s="1151"/>
      <c r="FG636" s="1151"/>
      <c r="FH636" s="1151"/>
      <c r="FI636" s="1151"/>
      <c r="FJ636" s="1151"/>
      <c r="FK636" s="1151"/>
      <c r="FL636" s="1151"/>
      <c r="FM636" s="1151"/>
      <c r="FN636" s="1151"/>
      <c r="FO636" s="1151"/>
      <c r="FP636" s="1151"/>
      <c r="FQ636" s="1151"/>
      <c r="FR636" s="1151"/>
      <c r="FS636" s="1151"/>
      <c r="FT636" s="1151"/>
      <c r="FU636" s="1151"/>
      <c r="FV636" s="1151"/>
      <c r="FW636" s="1151"/>
      <c r="FX636" s="1151"/>
      <c r="FY636" s="1488"/>
      <c r="FZ636" s="1488"/>
      <c r="GA636" s="1488"/>
      <c r="GB636" s="1485"/>
      <c r="GC636" s="1485"/>
      <c r="GD636" s="1485"/>
      <c r="GE636" s="1485"/>
      <c r="GF636" s="1485"/>
      <c r="GG636" s="1485"/>
      <c r="GH636" s="1485"/>
    </row>
    <row r="637" spans="144:190" s="1295" customFormat="1" x14ac:dyDescent="0.25">
      <c r="EN637" s="1485"/>
      <c r="EO637" s="1485"/>
      <c r="EP637" s="1485"/>
      <c r="EQ637" s="1485"/>
      <c r="ER637" s="1485"/>
      <c r="ES637" s="1485"/>
      <c r="ET637" s="1485"/>
      <c r="EU637" s="1485"/>
      <c r="EV637" s="1485"/>
      <c r="EW637" s="1485"/>
      <c r="EX637" s="1486"/>
      <c r="EY637" s="1486"/>
      <c r="EZ637" s="1487"/>
      <c r="FA637" s="1487"/>
      <c r="FB637" s="1151"/>
      <c r="FC637" s="1151"/>
      <c r="FD637" s="1151"/>
      <c r="FE637" s="1151"/>
      <c r="FF637" s="1151"/>
      <c r="FG637" s="1151"/>
      <c r="FH637" s="1151"/>
      <c r="FI637" s="1151"/>
      <c r="FJ637" s="1151"/>
      <c r="FK637" s="1151"/>
      <c r="FL637" s="1151"/>
      <c r="FM637" s="1151"/>
      <c r="FN637" s="1151"/>
      <c r="FO637" s="1151"/>
      <c r="FP637" s="1151"/>
      <c r="FQ637" s="1151"/>
      <c r="FR637" s="1151"/>
      <c r="FS637" s="1151"/>
      <c r="FT637" s="1151"/>
      <c r="FU637" s="1151"/>
      <c r="FV637" s="1151"/>
      <c r="FW637" s="1151"/>
      <c r="FX637" s="1151"/>
      <c r="FY637" s="1488"/>
      <c r="FZ637" s="1488"/>
      <c r="GA637" s="1488"/>
      <c r="GB637" s="1485"/>
      <c r="GC637" s="1485"/>
      <c r="GD637" s="1485"/>
      <c r="GE637" s="1485"/>
      <c r="GF637" s="1485"/>
      <c r="GG637" s="1485"/>
      <c r="GH637" s="1485"/>
    </row>
    <row r="638" spans="144:190" s="1295" customFormat="1" x14ac:dyDescent="0.25">
      <c r="EN638" s="1485"/>
      <c r="EO638" s="1485"/>
      <c r="EP638" s="1485"/>
      <c r="EQ638" s="1485"/>
      <c r="ER638" s="1485"/>
      <c r="ES638" s="1485"/>
      <c r="ET638" s="1485"/>
      <c r="EU638" s="1485"/>
      <c r="EV638" s="1485"/>
      <c r="EW638" s="1485"/>
      <c r="EX638" s="1486"/>
      <c r="EY638" s="1486"/>
      <c r="EZ638" s="1487"/>
      <c r="FA638" s="1487"/>
      <c r="FB638" s="1151"/>
      <c r="FC638" s="1151"/>
      <c r="FD638" s="1151"/>
      <c r="FE638" s="1151"/>
      <c r="FF638" s="1151"/>
      <c r="FG638" s="1151"/>
      <c r="FH638" s="1151"/>
      <c r="FI638" s="1151"/>
      <c r="FJ638" s="1151"/>
      <c r="FK638" s="1151"/>
      <c r="FL638" s="1151"/>
      <c r="FM638" s="1151"/>
      <c r="FN638" s="1151"/>
      <c r="FO638" s="1151"/>
      <c r="FP638" s="1151"/>
      <c r="FQ638" s="1151"/>
      <c r="FR638" s="1151"/>
      <c r="FS638" s="1151"/>
      <c r="FT638" s="1151"/>
      <c r="FU638" s="1151"/>
      <c r="FV638" s="1151"/>
      <c r="FW638" s="1151"/>
      <c r="FX638" s="1151"/>
      <c r="FY638" s="1488"/>
      <c r="FZ638" s="1488"/>
      <c r="GA638" s="1488"/>
      <c r="GB638" s="1485"/>
      <c r="GC638" s="1485"/>
      <c r="GD638" s="1485"/>
      <c r="GE638" s="1485"/>
      <c r="GF638" s="1485"/>
      <c r="GG638" s="1485"/>
      <c r="GH638" s="1485"/>
    </row>
    <row r="639" spans="144:190" s="1295" customFormat="1" x14ac:dyDescent="0.25">
      <c r="EN639" s="1485"/>
      <c r="EO639" s="1485"/>
      <c r="EP639" s="1485"/>
      <c r="EQ639" s="1485"/>
      <c r="ER639" s="1485"/>
      <c r="ES639" s="1485"/>
      <c r="ET639" s="1485"/>
      <c r="EU639" s="1485"/>
      <c r="EV639" s="1485"/>
      <c r="EW639" s="1485"/>
      <c r="EX639" s="1486"/>
      <c r="EY639" s="1486"/>
      <c r="EZ639" s="1487"/>
      <c r="FA639" s="1487"/>
      <c r="FB639" s="1151"/>
      <c r="FC639" s="1151"/>
      <c r="FD639" s="1151"/>
      <c r="FE639" s="1151"/>
      <c r="FF639" s="1151"/>
      <c r="FG639" s="1151"/>
      <c r="FH639" s="1151"/>
      <c r="FI639" s="1151"/>
      <c r="FJ639" s="1151"/>
      <c r="FK639" s="1151"/>
      <c r="FL639" s="1151"/>
      <c r="FM639" s="1151"/>
      <c r="FN639" s="1151"/>
      <c r="FO639" s="1151"/>
      <c r="FP639" s="1151"/>
      <c r="FQ639" s="1151"/>
      <c r="FR639" s="1151"/>
      <c r="FS639" s="1151"/>
      <c r="FT639" s="1151"/>
      <c r="FU639" s="1151"/>
      <c r="FV639" s="1151"/>
      <c r="FW639" s="1151"/>
      <c r="FX639" s="1151"/>
      <c r="FY639" s="1488"/>
      <c r="FZ639" s="1488"/>
      <c r="GA639" s="1488"/>
      <c r="GB639" s="1485"/>
      <c r="GC639" s="1485"/>
      <c r="GD639" s="1485"/>
      <c r="GE639" s="1485"/>
      <c r="GF639" s="1485"/>
      <c r="GG639" s="1485"/>
      <c r="GH639" s="1485"/>
    </row>
    <row r="640" spans="144:190" s="1295" customFormat="1" x14ac:dyDescent="0.25">
      <c r="EN640" s="1485"/>
      <c r="EO640" s="1485"/>
      <c r="EP640" s="1485"/>
      <c r="EQ640" s="1485"/>
      <c r="ER640" s="1485"/>
      <c r="ES640" s="1485"/>
      <c r="ET640" s="1485"/>
      <c r="EU640" s="1485"/>
      <c r="EV640" s="1485"/>
      <c r="EW640" s="1485"/>
      <c r="EX640" s="1486"/>
      <c r="EY640" s="1486"/>
      <c r="EZ640" s="1487"/>
      <c r="FA640" s="1487"/>
      <c r="FB640" s="1151"/>
      <c r="FC640" s="1151"/>
      <c r="FD640" s="1151"/>
      <c r="FE640" s="1151"/>
      <c r="FF640" s="1151"/>
      <c r="FG640" s="1151"/>
      <c r="FH640" s="1151"/>
      <c r="FI640" s="1151"/>
      <c r="FJ640" s="1151"/>
      <c r="FK640" s="1151"/>
      <c r="FL640" s="1151"/>
      <c r="FM640" s="1151"/>
      <c r="FN640" s="1151"/>
      <c r="FO640" s="1151"/>
      <c r="FP640" s="1151"/>
      <c r="FQ640" s="1151"/>
      <c r="FR640" s="1151"/>
      <c r="FS640" s="1151"/>
      <c r="FT640" s="1151"/>
      <c r="FU640" s="1151"/>
      <c r="FV640" s="1151"/>
      <c r="FW640" s="1151"/>
      <c r="FX640" s="1151"/>
      <c r="FY640" s="1488"/>
      <c r="FZ640" s="1488"/>
      <c r="GA640" s="1488"/>
      <c r="GB640" s="1485"/>
      <c r="GC640" s="1485"/>
      <c r="GD640" s="1485"/>
      <c r="GE640" s="1485"/>
      <c r="GF640" s="1485"/>
      <c r="GG640" s="1485"/>
      <c r="GH640" s="1485"/>
    </row>
    <row r="641" spans="144:190" s="1295" customFormat="1" x14ac:dyDescent="0.25">
      <c r="EN641" s="1485"/>
      <c r="EO641" s="1485"/>
      <c r="EP641" s="1485"/>
      <c r="EQ641" s="1485"/>
      <c r="ER641" s="1485"/>
      <c r="ES641" s="1485"/>
      <c r="ET641" s="1485"/>
      <c r="EU641" s="1485"/>
      <c r="EV641" s="1485"/>
      <c r="EW641" s="1485"/>
      <c r="EX641" s="1486"/>
      <c r="EY641" s="1486"/>
      <c r="EZ641" s="1487"/>
      <c r="FA641" s="1487"/>
      <c r="FB641" s="1151"/>
      <c r="FC641" s="1151"/>
      <c r="FD641" s="1151"/>
      <c r="FE641" s="1151"/>
      <c r="FF641" s="1151"/>
      <c r="FG641" s="1151"/>
      <c r="FH641" s="1151"/>
      <c r="FI641" s="1151"/>
      <c r="FJ641" s="1151"/>
      <c r="FK641" s="1151"/>
      <c r="FL641" s="1151"/>
      <c r="FM641" s="1151"/>
      <c r="FN641" s="1151"/>
      <c r="FO641" s="1151"/>
      <c r="FP641" s="1151"/>
      <c r="FQ641" s="1151"/>
      <c r="FR641" s="1151"/>
      <c r="FS641" s="1151"/>
      <c r="FT641" s="1151"/>
      <c r="FU641" s="1151"/>
      <c r="FV641" s="1151"/>
      <c r="FW641" s="1151"/>
      <c r="FX641" s="1151"/>
      <c r="FY641" s="1488"/>
      <c r="FZ641" s="1488"/>
      <c r="GA641" s="1488"/>
      <c r="GB641" s="1485"/>
      <c r="GC641" s="1485"/>
      <c r="GD641" s="1485"/>
      <c r="GE641" s="1485"/>
      <c r="GF641" s="1485"/>
      <c r="GG641" s="1485"/>
      <c r="GH641" s="1485"/>
    </row>
    <row r="642" spans="144:190" s="1295" customFormat="1" x14ac:dyDescent="0.25">
      <c r="EN642" s="1485"/>
      <c r="EO642" s="1485"/>
      <c r="EP642" s="1485"/>
      <c r="EQ642" s="1485"/>
      <c r="ER642" s="1485"/>
      <c r="ES642" s="1485"/>
      <c r="ET642" s="1485"/>
      <c r="EU642" s="1485"/>
      <c r="EV642" s="1485"/>
      <c r="EW642" s="1485"/>
      <c r="EX642" s="1486"/>
      <c r="EY642" s="1486"/>
      <c r="EZ642" s="1487"/>
      <c r="FA642" s="1487"/>
      <c r="FB642" s="1151"/>
      <c r="FC642" s="1151"/>
      <c r="FD642" s="1151"/>
      <c r="FE642" s="1151"/>
      <c r="FF642" s="1151"/>
      <c r="FG642" s="1151"/>
      <c r="FH642" s="1151"/>
      <c r="FI642" s="1151"/>
      <c r="FJ642" s="1151"/>
      <c r="FK642" s="1151"/>
      <c r="FL642" s="1151"/>
      <c r="FM642" s="1151"/>
      <c r="FN642" s="1151"/>
      <c r="FO642" s="1151"/>
      <c r="FP642" s="1151"/>
      <c r="FQ642" s="1151"/>
      <c r="FR642" s="1151"/>
      <c r="FS642" s="1151"/>
      <c r="FT642" s="1151"/>
      <c r="FU642" s="1151"/>
      <c r="FV642" s="1151"/>
      <c r="FW642" s="1151"/>
      <c r="FX642" s="1151"/>
      <c r="FY642" s="1488"/>
      <c r="FZ642" s="1488"/>
      <c r="GA642" s="1488"/>
      <c r="GB642" s="1485"/>
      <c r="GC642" s="1485"/>
      <c r="GD642" s="1485"/>
      <c r="GE642" s="1485"/>
      <c r="GF642" s="1485"/>
      <c r="GG642" s="1485"/>
      <c r="GH642" s="1485"/>
    </row>
    <row r="643" spans="144:190" s="1295" customFormat="1" x14ac:dyDescent="0.25">
      <c r="EN643" s="1485"/>
      <c r="EO643" s="1485"/>
      <c r="EP643" s="1485"/>
      <c r="EQ643" s="1485"/>
      <c r="ER643" s="1485"/>
      <c r="ES643" s="1485"/>
      <c r="ET643" s="1485"/>
      <c r="EU643" s="1485"/>
      <c r="EV643" s="1485"/>
      <c r="EW643" s="1485"/>
      <c r="EX643" s="1486"/>
      <c r="EY643" s="1486"/>
      <c r="EZ643" s="1487"/>
      <c r="FA643" s="1487"/>
      <c r="FB643" s="1151"/>
      <c r="FC643" s="1151"/>
      <c r="FD643" s="1151"/>
      <c r="FE643" s="1151"/>
      <c r="FF643" s="1151"/>
      <c r="FG643" s="1151"/>
      <c r="FH643" s="1151"/>
      <c r="FI643" s="1151"/>
      <c r="FJ643" s="1151"/>
      <c r="FK643" s="1151"/>
      <c r="FL643" s="1151"/>
      <c r="FM643" s="1151"/>
      <c r="FN643" s="1151"/>
      <c r="FO643" s="1151"/>
      <c r="FP643" s="1151"/>
      <c r="FQ643" s="1151"/>
      <c r="FR643" s="1151"/>
      <c r="FS643" s="1151"/>
      <c r="FT643" s="1151"/>
      <c r="FU643" s="1151"/>
      <c r="FV643" s="1151"/>
      <c r="FW643" s="1151"/>
      <c r="FX643" s="1151"/>
      <c r="FY643" s="1488"/>
      <c r="FZ643" s="1488"/>
      <c r="GA643" s="1488"/>
      <c r="GB643" s="1485"/>
      <c r="GC643" s="1485"/>
      <c r="GD643" s="1485"/>
      <c r="GE643" s="1485"/>
      <c r="GF643" s="1485"/>
      <c r="GG643" s="1485"/>
      <c r="GH643" s="1485"/>
    </row>
    <row r="644" spans="144:190" s="1295" customFormat="1" x14ac:dyDescent="0.25">
      <c r="EN644" s="1485"/>
      <c r="EO644" s="1485"/>
      <c r="EP644" s="1485"/>
      <c r="EQ644" s="1485"/>
      <c r="ER644" s="1485"/>
      <c r="ES644" s="1485"/>
      <c r="ET644" s="1485"/>
      <c r="EU644" s="1485"/>
      <c r="EV644" s="1485"/>
      <c r="EW644" s="1485"/>
      <c r="EX644" s="1486"/>
      <c r="EY644" s="1486"/>
      <c r="EZ644" s="1487"/>
      <c r="FA644" s="1487"/>
      <c r="FB644" s="1151"/>
      <c r="FC644" s="1151"/>
      <c r="FD644" s="1151"/>
      <c r="FE644" s="1151"/>
      <c r="FF644" s="1151"/>
      <c r="FG644" s="1151"/>
      <c r="FH644" s="1151"/>
      <c r="FI644" s="1151"/>
      <c r="FJ644" s="1151"/>
      <c r="FK644" s="1151"/>
      <c r="FL644" s="1151"/>
      <c r="FM644" s="1151"/>
      <c r="FN644" s="1151"/>
      <c r="FO644" s="1151"/>
      <c r="FP644" s="1151"/>
      <c r="FQ644" s="1151"/>
      <c r="FR644" s="1151"/>
      <c r="FS644" s="1151"/>
      <c r="FT644" s="1151"/>
      <c r="FU644" s="1151"/>
      <c r="FV644" s="1151"/>
      <c r="FW644" s="1151"/>
      <c r="FX644" s="1151"/>
      <c r="FY644" s="1488"/>
      <c r="FZ644" s="1488"/>
      <c r="GA644" s="1488"/>
      <c r="GB644" s="1485"/>
      <c r="GC644" s="1485"/>
      <c r="GD644" s="1485"/>
      <c r="GE644" s="1485"/>
      <c r="GF644" s="1485"/>
      <c r="GG644" s="1485"/>
      <c r="GH644" s="1485"/>
    </row>
    <row r="645" spans="144:190" s="1295" customFormat="1" x14ac:dyDescent="0.25">
      <c r="EN645" s="1485"/>
      <c r="EO645" s="1485"/>
      <c r="EP645" s="1485"/>
      <c r="EQ645" s="1485"/>
      <c r="ER645" s="1485"/>
      <c r="ES645" s="1485"/>
      <c r="ET645" s="1485"/>
      <c r="EU645" s="1485"/>
      <c r="EV645" s="1485"/>
      <c r="EW645" s="1485"/>
      <c r="EX645" s="1486"/>
      <c r="EY645" s="1486"/>
      <c r="EZ645" s="1487"/>
      <c r="FA645" s="1487"/>
      <c r="FB645" s="1151"/>
      <c r="FC645" s="1151"/>
      <c r="FD645" s="1151"/>
      <c r="FE645" s="1151"/>
      <c r="FF645" s="1151"/>
      <c r="FG645" s="1151"/>
      <c r="FH645" s="1151"/>
      <c r="FI645" s="1151"/>
      <c r="FJ645" s="1151"/>
      <c r="FK645" s="1151"/>
      <c r="FL645" s="1151"/>
      <c r="FM645" s="1151"/>
      <c r="FN645" s="1151"/>
      <c r="FO645" s="1151"/>
      <c r="FP645" s="1151"/>
      <c r="FQ645" s="1151"/>
      <c r="FR645" s="1151"/>
      <c r="FS645" s="1151"/>
      <c r="FT645" s="1151"/>
      <c r="FU645" s="1151"/>
      <c r="FV645" s="1151"/>
      <c r="FW645" s="1151"/>
      <c r="FX645" s="1151"/>
      <c r="FY645" s="1488"/>
      <c r="FZ645" s="1488"/>
      <c r="GA645" s="1488"/>
      <c r="GB645" s="1485"/>
      <c r="GC645" s="1485"/>
      <c r="GD645" s="1485"/>
      <c r="GE645" s="1485"/>
      <c r="GF645" s="1485"/>
      <c r="GG645" s="1485"/>
      <c r="GH645" s="1485"/>
    </row>
    <row r="646" spans="144:190" s="1295" customFormat="1" x14ac:dyDescent="0.25">
      <c r="EN646" s="1485"/>
      <c r="EO646" s="1485"/>
      <c r="EP646" s="1485"/>
      <c r="EQ646" s="1485"/>
      <c r="ER646" s="1485"/>
      <c r="ES646" s="1485"/>
      <c r="ET646" s="1485"/>
      <c r="EU646" s="1485"/>
      <c r="EV646" s="1485"/>
      <c r="EW646" s="1485"/>
      <c r="EX646" s="1486"/>
      <c r="EY646" s="1486"/>
      <c r="EZ646" s="1487"/>
      <c r="FA646" s="1487"/>
      <c r="FB646" s="1151"/>
      <c r="FC646" s="1151"/>
      <c r="FD646" s="1151"/>
      <c r="FE646" s="1151"/>
      <c r="FF646" s="1151"/>
      <c r="FG646" s="1151"/>
      <c r="FH646" s="1151"/>
      <c r="FI646" s="1151"/>
      <c r="FJ646" s="1151"/>
      <c r="FK646" s="1151"/>
      <c r="FL646" s="1151"/>
      <c r="FM646" s="1151"/>
      <c r="FN646" s="1151"/>
      <c r="FO646" s="1151"/>
      <c r="FP646" s="1151"/>
      <c r="FQ646" s="1151"/>
      <c r="FR646" s="1151"/>
      <c r="FS646" s="1151"/>
      <c r="FT646" s="1151"/>
      <c r="FU646" s="1151"/>
      <c r="FV646" s="1151"/>
      <c r="FW646" s="1151"/>
      <c r="FX646" s="1151"/>
      <c r="FY646" s="1488"/>
      <c r="FZ646" s="1488"/>
      <c r="GA646" s="1488"/>
      <c r="GB646" s="1485"/>
      <c r="GC646" s="1485"/>
      <c r="GD646" s="1485"/>
      <c r="GE646" s="1485"/>
      <c r="GF646" s="1485"/>
      <c r="GG646" s="1485"/>
      <c r="GH646" s="1485"/>
    </row>
    <row r="647" spans="144:190" s="1295" customFormat="1" x14ac:dyDescent="0.25">
      <c r="EN647" s="1485"/>
      <c r="EO647" s="1485"/>
      <c r="EP647" s="1485"/>
      <c r="EQ647" s="1485"/>
      <c r="ER647" s="1485"/>
      <c r="ES647" s="1485"/>
      <c r="ET647" s="1485"/>
      <c r="EU647" s="1485"/>
      <c r="EV647" s="1485"/>
      <c r="EW647" s="1485"/>
      <c r="EX647" s="1486"/>
      <c r="EY647" s="1486"/>
      <c r="EZ647" s="1487"/>
      <c r="FA647" s="1487"/>
      <c r="FB647" s="1151"/>
      <c r="FC647" s="1151"/>
      <c r="FD647" s="1151"/>
      <c r="FE647" s="1151"/>
      <c r="FF647" s="1151"/>
      <c r="FG647" s="1151"/>
      <c r="FH647" s="1151"/>
      <c r="FI647" s="1151"/>
      <c r="FJ647" s="1151"/>
      <c r="FK647" s="1151"/>
      <c r="FL647" s="1151"/>
      <c r="FM647" s="1151"/>
      <c r="FN647" s="1151"/>
      <c r="FO647" s="1151"/>
      <c r="FP647" s="1151"/>
      <c r="FQ647" s="1151"/>
      <c r="FR647" s="1151"/>
      <c r="FS647" s="1151"/>
      <c r="FT647" s="1151"/>
      <c r="FU647" s="1151"/>
      <c r="FV647" s="1151"/>
      <c r="FW647" s="1151"/>
      <c r="FX647" s="1151"/>
      <c r="FY647" s="1488"/>
      <c r="FZ647" s="1488"/>
      <c r="GA647" s="1488"/>
      <c r="GB647" s="1485"/>
      <c r="GC647" s="1485"/>
      <c r="GD647" s="1485"/>
      <c r="GE647" s="1485"/>
      <c r="GF647" s="1485"/>
      <c r="GG647" s="1485"/>
      <c r="GH647" s="1485"/>
    </row>
    <row r="648" spans="144:190" s="1295" customFormat="1" x14ac:dyDescent="0.25">
      <c r="EN648" s="1485"/>
      <c r="EO648" s="1485"/>
      <c r="EP648" s="1485"/>
      <c r="EQ648" s="1485"/>
      <c r="ER648" s="1485"/>
      <c r="ES648" s="1485"/>
      <c r="ET648" s="1485"/>
      <c r="EU648" s="1485"/>
      <c r="EV648" s="1485"/>
      <c r="EW648" s="1485"/>
      <c r="EX648" s="1486"/>
      <c r="EY648" s="1486"/>
      <c r="EZ648" s="1487"/>
      <c r="FA648" s="1487"/>
      <c r="FB648" s="1151"/>
      <c r="FC648" s="1151"/>
      <c r="FD648" s="1151"/>
      <c r="FE648" s="1151"/>
      <c r="FF648" s="1151"/>
      <c r="FG648" s="1151"/>
      <c r="FH648" s="1151"/>
      <c r="FI648" s="1151"/>
      <c r="FJ648" s="1151"/>
      <c r="FK648" s="1151"/>
      <c r="FL648" s="1151"/>
      <c r="FM648" s="1151"/>
      <c r="FN648" s="1151"/>
      <c r="FO648" s="1151"/>
      <c r="FP648" s="1151"/>
      <c r="FQ648" s="1151"/>
      <c r="FR648" s="1151"/>
      <c r="FS648" s="1151"/>
      <c r="FT648" s="1151"/>
      <c r="FU648" s="1151"/>
      <c r="FV648" s="1151"/>
      <c r="FW648" s="1151"/>
      <c r="FX648" s="1151"/>
      <c r="FY648" s="1488"/>
      <c r="FZ648" s="1488"/>
      <c r="GA648" s="1488"/>
      <c r="GB648" s="1485"/>
      <c r="GC648" s="1485"/>
      <c r="GD648" s="1485"/>
      <c r="GE648" s="1485"/>
      <c r="GF648" s="1485"/>
      <c r="GG648" s="1485"/>
      <c r="GH648" s="1485"/>
    </row>
    <row r="649" spans="144:190" s="1295" customFormat="1" x14ac:dyDescent="0.25">
      <c r="EN649" s="1485"/>
      <c r="EO649" s="1485"/>
      <c r="EP649" s="1485"/>
      <c r="EQ649" s="1485"/>
      <c r="ER649" s="1485"/>
      <c r="ES649" s="1485"/>
      <c r="ET649" s="1485"/>
      <c r="EU649" s="1485"/>
      <c r="EV649" s="1485"/>
      <c r="EW649" s="1485"/>
      <c r="EX649" s="1486"/>
      <c r="EY649" s="1486"/>
      <c r="EZ649" s="1487"/>
      <c r="FA649" s="1487"/>
      <c r="FB649" s="1151"/>
      <c r="FC649" s="1151"/>
      <c r="FD649" s="1151"/>
      <c r="FE649" s="1151"/>
      <c r="FF649" s="1151"/>
      <c r="FG649" s="1151"/>
      <c r="FH649" s="1151"/>
      <c r="FI649" s="1151"/>
      <c r="FJ649" s="1151"/>
      <c r="FK649" s="1151"/>
      <c r="FL649" s="1151"/>
      <c r="FM649" s="1151"/>
      <c r="FN649" s="1151"/>
      <c r="FO649" s="1151"/>
      <c r="FP649" s="1151"/>
      <c r="FQ649" s="1151"/>
      <c r="FR649" s="1151"/>
      <c r="FS649" s="1151"/>
      <c r="FT649" s="1151"/>
      <c r="FU649" s="1151"/>
      <c r="FV649" s="1151"/>
      <c r="FW649" s="1151"/>
      <c r="FX649" s="1151"/>
      <c r="FY649" s="1488"/>
      <c r="FZ649" s="1488"/>
      <c r="GA649" s="1488"/>
      <c r="GB649" s="1485"/>
      <c r="GC649" s="1485"/>
      <c r="GD649" s="1485"/>
      <c r="GE649" s="1485"/>
      <c r="GF649" s="1485"/>
      <c r="GG649" s="1485"/>
      <c r="GH649" s="1485"/>
    </row>
    <row r="650" spans="144:190" s="1295" customFormat="1" x14ac:dyDescent="0.25">
      <c r="EN650" s="1485"/>
      <c r="EO650" s="1485"/>
      <c r="EP650" s="1485"/>
      <c r="EQ650" s="1485"/>
      <c r="ER650" s="1485"/>
      <c r="ES650" s="1485"/>
      <c r="ET650" s="1485"/>
      <c r="EU650" s="1485"/>
      <c r="EV650" s="1485"/>
      <c r="EW650" s="1485"/>
      <c r="EX650" s="1486"/>
      <c r="EY650" s="1486"/>
      <c r="EZ650" s="1487"/>
      <c r="FA650" s="1487"/>
      <c r="FB650" s="1151"/>
      <c r="FC650" s="1151"/>
      <c r="FD650" s="1151"/>
      <c r="FE650" s="1151"/>
      <c r="FF650" s="1151"/>
      <c r="FG650" s="1151"/>
      <c r="FH650" s="1151"/>
      <c r="FI650" s="1151"/>
      <c r="FJ650" s="1151"/>
      <c r="FK650" s="1151"/>
      <c r="FL650" s="1151"/>
      <c r="FM650" s="1151"/>
      <c r="FN650" s="1151"/>
      <c r="FO650" s="1151"/>
      <c r="FP650" s="1151"/>
      <c r="FQ650" s="1151"/>
      <c r="FR650" s="1151"/>
      <c r="FS650" s="1151"/>
      <c r="FT650" s="1151"/>
      <c r="FU650" s="1151"/>
      <c r="FV650" s="1151"/>
      <c r="FW650" s="1151"/>
      <c r="FX650" s="1151"/>
      <c r="FY650" s="1488"/>
      <c r="FZ650" s="1488"/>
      <c r="GA650" s="1488"/>
      <c r="GB650" s="1485"/>
      <c r="GC650" s="1485"/>
      <c r="GD650" s="1485"/>
      <c r="GE650" s="1485"/>
      <c r="GF650" s="1485"/>
      <c r="GG650" s="1485"/>
      <c r="GH650" s="1485"/>
    </row>
    <row r="651" spans="144:190" s="1295" customFormat="1" x14ac:dyDescent="0.25">
      <c r="EN651" s="1485"/>
      <c r="EO651" s="1485"/>
      <c r="EP651" s="1485"/>
      <c r="EQ651" s="1485"/>
      <c r="ER651" s="1485"/>
      <c r="ES651" s="1485"/>
      <c r="ET651" s="1485"/>
      <c r="EU651" s="1485"/>
      <c r="EV651" s="1485"/>
      <c r="EW651" s="1485"/>
      <c r="EX651" s="1486"/>
      <c r="EY651" s="1486"/>
      <c r="EZ651" s="1487"/>
      <c r="FA651" s="1487"/>
      <c r="FB651" s="1151"/>
      <c r="FC651" s="1151"/>
      <c r="FD651" s="1151"/>
      <c r="FE651" s="1151"/>
      <c r="FF651" s="1151"/>
      <c r="FG651" s="1151"/>
      <c r="FH651" s="1151"/>
      <c r="FI651" s="1151"/>
      <c r="FJ651" s="1151"/>
      <c r="FK651" s="1151"/>
      <c r="FL651" s="1151"/>
      <c r="FM651" s="1151"/>
      <c r="FN651" s="1151"/>
      <c r="FO651" s="1151"/>
      <c r="FP651" s="1151"/>
      <c r="FQ651" s="1151"/>
      <c r="FR651" s="1151"/>
      <c r="FS651" s="1151"/>
      <c r="FT651" s="1151"/>
      <c r="FU651" s="1151"/>
      <c r="FV651" s="1151"/>
      <c r="FW651" s="1151"/>
      <c r="FX651" s="1151"/>
      <c r="FY651" s="1488"/>
      <c r="FZ651" s="1488"/>
      <c r="GA651" s="1488"/>
      <c r="GB651" s="1485"/>
      <c r="GC651" s="1485"/>
      <c r="GD651" s="1485"/>
      <c r="GE651" s="1485"/>
      <c r="GF651" s="1485"/>
      <c r="GG651" s="1485"/>
      <c r="GH651" s="1485"/>
    </row>
    <row r="652" spans="144:190" s="1295" customFormat="1" x14ac:dyDescent="0.25">
      <c r="EN652" s="1485"/>
      <c r="EO652" s="1485"/>
      <c r="EP652" s="1485"/>
      <c r="EQ652" s="1485"/>
      <c r="ER652" s="1485"/>
      <c r="ES652" s="1485"/>
      <c r="ET652" s="1485"/>
      <c r="EU652" s="1485"/>
      <c r="EV652" s="1485"/>
      <c r="EW652" s="1485"/>
      <c r="EX652" s="1486"/>
      <c r="EY652" s="1486"/>
      <c r="EZ652" s="1487"/>
      <c r="FA652" s="1487"/>
      <c r="FB652" s="1151"/>
      <c r="FC652" s="1151"/>
      <c r="FD652" s="1151"/>
      <c r="FE652" s="1151"/>
      <c r="FF652" s="1151"/>
      <c r="FG652" s="1151"/>
      <c r="FH652" s="1151"/>
      <c r="FI652" s="1151"/>
      <c r="FJ652" s="1151"/>
      <c r="FK652" s="1151"/>
      <c r="FL652" s="1151"/>
      <c r="FM652" s="1151"/>
      <c r="FN652" s="1151"/>
      <c r="FO652" s="1151"/>
      <c r="FP652" s="1151"/>
      <c r="FQ652" s="1151"/>
      <c r="FR652" s="1151"/>
      <c r="FS652" s="1151"/>
      <c r="FT652" s="1151"/>
      <c r="FU652" s="1151"/>
      <c r="FV652" s="1151"/>
      <c r="FW652" s="1151"/>
      <c r="FX652" s="1151"/>
      <c r="FY652" s="1488"/>
      <c r="FZ652" s="1488"/>
      <c r="GA652" s="1488"/>
      <c r="GB652" s="1485"/>
      <c r="GC652" s="1485"/>
      <c r="GD652" s="1485"/>
      <c r="GE652" s="1485"/>
      <c r="GF652" s="1485"/>
      <c r="GG652" s="1485"/>
      <c r="GH652" s="1485"/>
    </row>
    <row r="653" spans="144:190" s="1295" customFormat="1" x14ac:dyDescent="0.25">
      <c r="EN653" s="1485"/>
      <c r="EO653" s="1485"/>
      <c r="EP653" s="1485"/>
      <c r="EQ653" s="1485"/>
      <c r="ER653" s="1485"/>
      <c r="ES653" s="1485"/>
      <c r="ET653" s="1485"/>
      <c r="EU653" s="1485"/>
      <c r="EV653" s="1485"/>
      <c r="EW653" s="1485"/>
      <c r="EX653" s="1486"/>
      <c r="EY653" s="1486"/>
      <c r="EZ653" s="1487"/>
      <c r="FA653" s="1487"/>
      <c r="FB653" s="1151"/>
      <c r="FC653" s="1151"/>
      <c r="FD653" s="1151"/>
      <c r="FE653" s="1151"/>
      <c r="FF653" s="1151"/>
      <c r="FG653" s="1151"/>
      <c r="FH653" s="1151"/>
      <c r="FI653" s="1151"/>
      <c r="FJ653" s="1151"/>
      <c r="FK653" s="1151"/>
      <c r="FL653" s="1151"/>
      <c r="FM653" s="1151"/>
      <c r="FN653" s="1151"/>
      <c r="FO653" s="1151"/>
      <c r="FP653" s="1151"/>
      <c r="FQ653" s="1151"/>
      <c r="FR653" s="1151"/>
      <c r="FS653" s="1151"/>
      <c r="FT653" s="1151"/>
      <c r="FU653" s="1151"/>
      <c r="FV653" s="1151"/>
      <c r="FW653" s="1151"/>
      <c r="FX653" s="1151"/>
      <c r="FY653" s="1488"/>
      <c r="FZ653" s="1488"/>
      <c r="GA653" s="1488"/>
      <c r="GB653" s="1485"/>
      <c r="GC653" s="1485"/>
      <c r="GD653" s="1485"/>
      <c r="GE653" s="1485"/>
      <c r="GF653" s="1485"/>
      <c r="GG653" s="1485"/>
      <c r="GH653" s="1485"/>
    </row>
    <row r="654" spans="144:190" s="1295" customFormat="1" x14ac:dyDescent="0.25">
      <c r="EN654" s="1485"/>
      <c r="EO654" s="1485"/>
      <c r="EP654" s="1485"/>
      <c r="EQ654" s="1485"/>
      <c r="ER654" s="1485"/>
      <c r="ES654" s="1485"/>
      <c r="ET654" s="1485"/>
      <c r="EU654" s="1485"/>
      <c r="EV654" s="1485"/>
      <c r="EW654" s="1485"/>
      <c r="EX654" s="1486"/>
      <c r="EY654" s="1486"/>
      <c r="EZ654" s="1487"/>
      <c r="FA654" s="1487"/>
      <c r="FB654" s="1151"/>
      <c r="FC654" s="1151"/>
      <c r="FD654" s="1151"/>
      <c r="FE654" s="1151"/>
      <c r="FF654" s="1151"/>
      <c r="FG654" s="1151"/>
      <c r="FH654" s="1151"/>
      <c r="FI654" s="1151"/>
      <c r="FJ654" s="1151"/>
      <c r="FK654" s="1151"/>
      <c r="FL654" s="1151"/>
      <c r="FM654" s="1151"/>
      <c r="FN654" s="1151"/>
      <c r="FO654" s="1151"/>
      <c r="FP654" s="1151"/>
      <c r="FQ654" s="1151"/>
      <c r="FR654" s="1151"/>
      <c r="FS654" s="1151"/>
      <c r="FT654" s="1151"/>
      <c r="FU654" s="1151"/>
      <c r="FV654" s="1151"/>
      <c r="FW654" s="1151"/>
      <c r="FX654" s="1151"/>
      <c r="FY654" s="1488"/>
      <c r="FZ654" s="1488"/>
      <c r="GA654" s="1488"/>
      <c r="GB654" s="1485"/>
      <c r="GC654" s="1485"/>
      <c r="GD654" s="1485"/>
      <c r="GE654" s="1485"/>
      <c r="GF654" s="1485"/>
      <c r="GG654" s="1485"/>
      <c r="GH654" s="1485"/>
    </row>
    <row r="655" spans="144:190" s="1295" customFormat="1" x14ac:dyDescent="0.25">
      <c r="EN655" s="1485"/>
      <c r="EO655" s="1485"/>
      <c r="EP655" s="1485"/>
      <c r="EQ655" s="1485"/>
      <c r="ER655" s="1485"/>
      <c r="ES655" s="1485"/>
      <c r="ET655" s="1485"/>
      <c r="EU655" s="1485"/>
      <c r="EV655" s="1485"/>
      <c r="EW655" s="1485"/>
      <c r="EX655" s="1486"/>
      <c r="EY655" s="1486"/>
      <c r="EZ655" s="1487"/>
      <c r="FA655" s="1487"/>
      <c r="FB655" s="1151"/>
      <c r="FC655" s="1151"/>
      <c r="FD655" s="1151"/>
      <c r="FE655" s="1151"/>
      <c r="FF655" s="1151"/>
      <c r="FG655" s="1151"/>
      <c r="FH655" s="1151"/>
      <c r="FI655" s="1151"/>
      <c r="FJ655" s="1151"/>
      <c r="FK655" s="1151"/>
      <c r="FL655" s="1151"/>
      <c r="FM655" s="1151"/>
      <c r="FN655" s="1151"/>
      <c r="FO655" s="1151"/>
      <c r="FP655" s="1151"/>
      <c r="FQ655" s="1151"/>
      <c r="FR655" s="1151"/>
      <c r="FS655" s="1151"/>
      <c r="FT655" s="1151"/>
      <c r="FU655" s="1151"/>
      <c r="FV655" s="1151"/>
      <c r="FW655" s="1151"/>
      <c r="FX655" s="1151"/>
      <c r="FY655" s="1488"/>
      <c r="FZ655" s="1488"/>
      <c r="GA655" s="1488"/>
      <c r="GB655" s="1485"/>
      <c r="GC655" s="1485"/>
      <c r="GD655" s="1485"/>
      <c r="GE655" s="1485"/>
      <c r="GF655" s="1485"/>
      <c r="GG655" s="1485"/>
      <c r="GH655" s="1485"/>
    </row>
    <row r="656" spans="144:190" s="1295" customFormat="1" x14ac:dyDescent="0.25">
      <c r="EN656" s="1485"/>
      <c r="EO656" s="1485"/>
      <c r="EP656" s="1485"/>
      <c r="EQ656" s="1485"/>
      <c r="ER656" s="1485"/>
      <c r="ES656" s="1485"/>
      <c r="ET656" s="1485"/>
      <c r="EU656" s="1485"/>
      <c r="EV656" s="1485"/>
      <c r="EW656" s="1485"/>
      <c r="EX656" s="1486"/>
      <c r="EY656" s="1486"/>
      <c r="EZ656" s="1487"/>
      <c r="FA656" s="1487"/>
      <c r="FB656" s="1151"/>
      <c r="FC656" s="1151"/>
      <c r="FD656" s="1151"/>
      <c r="FE656" s="1151"/>
      <c r="FF656" s="1151"/>
      <c r="FG656" s="1151"/>
      <c r="FH656" s="1151"/>
      <c r="FI656" s="1151"/>
      <c r="FJ656" s="1151"/>
      <c r="FK656" s="1151"/>
      <c r="FL656" s="1151"/>
      <c r="FM656" s="1151"/>
      <c r="FN656" s="1151"/>
      <c r="FO656" s="1151"/>
      <c r="FP656" s="1151"/>
      <c r="FQ656" s="1151"/>
      <c r="FR656" s="1151"/>
      <c r="FS656" s="1151"/>
      <c r="FT656" s="1151"/>
      <c r="FU656" s="1151"/>
      <c r="FV656" s="1151"/>
      <c r="FW656" s="1151"/>
      <c r="FX656" s="1151"/>
      <c r="FY656" s="1488"/>
      <c r="FZ656" s="1488"/>
      <c r="GA656" s="1488"/>
      <c r="GB656" s="1485"/>
      <c r="GC656" s="1485"/>
      <c r="GD656" s="1485"/>
      <c r="GE656" s="1485"/>
      <c r="GF656" s="1485"/>
      <c r="GG656" s="1485"/>
      <c r="GH656" s="1485"/>
    </row>
    <row r="657" spans="144:190" s="1295" customFormat="1" x14ac:dyDescent="0.25">
      <c r="EN657" s="1485"/>
      <c r="EO657" s="1485"/>
      <c r="EP657" s="1485"/>
      <c r="EQ657" s="1485"/>
      <c r="ER657" s="1485"/>
      <c r="ES657" s="1485"/>
      <c r="ET657" s="1485"/>
      <c r="EU657" s="1485"/>
      <c r="EV657" s="1485"/>
      <c r="EW657" s="1485"/>
      <c r="EX657" s="1486"/>
      <c r="EY657" s="1486"/>
      <c r="EZ657" s="1487"/>
      <c r="FA657" s="1487"/>
      <c r="FB657" s="1151"/>
      <c r="FC657" s="1151"/>
      <c r="FD657" s="1151"/>
      <c r="FE657" s="1151"/>
      <c r="FF657" s="1151"/>
      <c r="FG657" s="1151"/>
      <c r="FH657" s="1151"/>
      <c r="FI657" s="1151"/>
      <c r="FJ657" s="1151"/>
      <c r="FK657" s="1151"/>
      <c r="FL657" s="1151"/>
      <c r="FM657" s="1151"/>
      <c r="FN657" s="1151"/>
      <c r="FO657" s="1151"/>
      <c r="FP657" s="1151"/>
      <c r="FQ657" s="1151"/>
      <c r="FR657" s="1151"/>
      <c r="FS657" s="1151"/>
      <c r="FT657" s="1151"/>
      <c r="FU657" s="1151"/>
      <c r="FV657" s="1151"/>
      <c r="FW657" s="1151"/>
      <c r="FX657" s="1151"/>
      <c r="FY657" s="1488"/>
      <c r="FZ657" s="1488"/>
      <c r="GA657" s="1488"/>
      <c r="GB657" s="1485"/>
      <c r="GC657" s="1485"/>
      <c r="GD657" s="1485"/>
      <c r="GE657" s="1485"/>
      <c r="GF657" s="1485"/>
      <c r="GG657" s="1485"/>
      <c r="GH657" s="1485"/>
    </row>
    <row r="658" spans="144:190" s="1295" customFormat="1" x14ac:dyDescent="0.25">
      <c r="EN658" s="1485"/>
      <c r="EO658" s="1485"/>
      <c r="EP658" s="1485"/>
      <c r="EQ658" s="1485"/>
      <c r="ER658" s="1485"/>
      <c r="ES658" s="1485"/>
      <c r="ET658" s="1485"/>
      <c r="EU658" s="1485"/>
      <c r="EV658" s="1485"/>
      <c r="EW658" s="1485"/>
      <c r="EX658" s="1486"/>
      <c r="EY658" s="1486"/>
      <c r="EZ658" s="1487"/>
      <c r="FA658" s="1487"/>
      <c r="FB658" s="1151"/>
      <c r="FC658" s="1151"/>
      <c r="FD658" s="1151"/>
      <c r="FE658" s="1151"/>
      <c r="FF658" s="1151"/>
      <c r="FG658" s="1151"/>
      <c r="FH658" s="1151"/>
      <c r="FI658" s="1151"/>
      <c r="FJ658" s="1151"/>
      <c r="FK658" s="1151"/>
      <c r="FL658" s="1151"/>
      <c r="FM658" s="1151"/>
      <c r="FN658" s="1151"/>
      <c r="FO658" s="1151"/>
      <c r="FP658" s="1151"/>
      <c r="FQ658" s="1151"/>
      <c r="FR658" s="1151"/>
      <c r="FS658" s="1151"/>
      <c r="FT658" s="1151"/>
      <c r="FU658" s="1151"/>
      <c r="FV658" s="1151"/>
      <c r="FW658" s="1151"/>
      <c r="FX658" s="1151"/>
      <c r="FY658" s="1488"/>
      <c r="FZ658" s="1488"/>
      <c r="GA658" s="1488"/>
      <c r="GB658" s="1485"/>
      <c r="GC658" s="1485"/>
      <c r="GD658" s="1485"/>
      <c r="GE658" s="1485"/>
      <c r="GF658" s="1485"/>
      <c r="GG658" s="1485"/>
      <c r="GH658" s="1485"/>
    </row>
    <row r="659" spans="144:190" s="1295" customFormat="1" x14ac:dyDescent="0.25">
      <c r="EN659" s="1485"/>
      <c r="EO659" s="1485"/>
      <c r="EP659" s="1485"/>
      <c r="EQ659" s="1485"/>
      <c r="ER659" s="1485"/>
      <c r="ES659" s="1485"/>
      <c r="ET659" s="1485"/>
      <c r="EU659" s="1485"/>
      <c r="EV659" s="1485"/>
      <c r="EW659" s="1485"/>
      <c r="EX659" s="1486"/>
      <c r="EY659" s="1486"/>
      <c r="EZ659" s="1487"/>
      <c r="FA659" s="1487"/>
      <c r="FB659" s="1151"/>
      <c r="FC659" s="1151"/>
      <c r="FD659" s="1151"/>
      <c r="FE659" s="1151"/>
      <c r="FF659" s="1151"/>
      <c r="FG659" s="1151"/>
      <c r="FH659" s="1151"/>
      <c r="FI659" s="1151"/>
      <c r="FJ659" s="1151"/>
      <c r="FK659" s="1151"/>
      <c r="FL659" s="1151"/>
      <c r="FM659" s="1151"/>
      <c r="FN659" s="1151"/>
      <c r="FO659" s="1151"/>
      <c r="FP659" s="1151"/>
      <c r="FQ659" s="1151"/>
      <c r="FR659" s="1151"/>
      <c r="FS659" s="1151"/>
      <c r="FT659" s="1151"/>
      <c r="FU659" s="1151"/>
      <c r="FV659" s="1151"/>
      <c r="FW659" s="1151"/>
      <c r="FX659" s="1151"/>
      <c r="FY659" s="1488"/>
      <c r="FZ659" s="1488"/>
      <c r="GA659" s="1488"/>
      <c r="GB659" s="1485"/>
      <c r="GC659" s="1485"/>
      <c r="GD659" s="1485"/>
      <c r="GE659" s="1485"/>
      <c r="GF659" s="1485"/>
      <c r="GG659" s="1485"/>
      <c r="GH659" s="1485"/>
    </row>
    <row r="660" spans="144:190" s="1295" customFormat="1" x14ac:dyDescent="0.25">
      <c r="EN660" s="1485"/>
      <c r="EO660" s="1485"/>
      <c r="EP660" s="1485"/>
      <c r="EQ660" s="1485"/>
      <c r="ER660" s="1485"/>
      <c r="ES660" s="1485"/>
      <c r="ET660" s="1485"/>
      <c r="EU660" s="1485"/>
      <c r="EV660" s="1485"/>
      <c r="EW660" s="1485"/>
      <c r="EX660" s="1486"/>
      <c r="EY660" s="1486"/>
      <c r="EZ660" s="1487"/>
      <c r="FA660" s="1487"/>
      <c r="FB660" s="1151"/>
      <c r="FC660" s="1151"/>
      <c r="FD660" s="1151"/>
      <c r="FE660" s="1151"/>
      <c r="FF660" s="1151"/>
      <c r="FG660" s="1151"/>
      <c r="FH660" s="1151"/>
      <c r="FI660" s="1151"/>
      <c r="FJ660" s="1151"/>
      <c r="FK660" s="1151"/>
      <c r="FL660" s="1151"/>
      <c r="FM660" s="1151"/>
      <c r="FN660" s="1151"/>
      <c r="FO660" s="1151"/>
      <c r="FP660" s="1151"/>
      <c r="FQ660" s="1151"/>
      <c r="FR660" s="1151"/>
      <c r="FS660" s="1151"/>
      <c r="FT660" s="1151"/>
      <c r="FU660" s="1151"/>
      <c r="FV660" s="1151"/>
      <c r="FW660" s="1151"/>
      <c r="FX660" s="1151"/>
      <c r="FY660" s="1488"/>
      <c r="FZ660" s="1488"/>
      <c r="GA660" s="1488"/>
      <c r="GB660" s="1485"/>
      <c r="GC660" s="1485"/>
      <c r="GD660" s="1485"/>
      <c r="GE660" s="1485"/>
      <c r="GF660" s="1485"/>
      <c r="GG660" s="1485"/>
      <c r="GH660" s="1485"/>
    </row>
    <row r="661" spans="144:190" s="1295" customFormat="1" x14ac:dyDescent="0.25">
      <c r="EN661" s="1485"/>
      <c r="EO661" s="1485"/>
      <c r="EP661" s="1485"/>
      <c r="EQ661" s="1485"/>
      <c r="ER661" s="1485"/>
      <c r="ES661" s="1485"/>
      <c r="ET661" s="1485"/>
      <c r="EU661" s="1485"/>
      <c r="EV661" s="1485"/>
      <c r="EW661" s="1485"/>
      <c r="EX661" s="1486"/>
      <c r="EY661" s="1486"/>
      <c r="EZ661" s="1487"/>
      <c r="FA661" s="1487"/>
      <c r="FB661" s="1151"/>
      <c r="FC661" s="1151"/>
      <c r="FD661" s="1151"/>
      <c r="FE661" s="1151"/>
      <c r="FF661" s="1151"/>
      <c r="FG661" s="1151"/>
      <c r="FH661" s="1151"/>
      <c r="FI661" s="1151"/>
      <c r="FJ661" s="1151"/>
      <c r="FK661" s="1151"/>
      <c r="FL661" s="1151"/>
      <c r="FM661" s="1151"/>
      <c r="FN661" s="1151"/>
      <c r="FO661" s="1151"/>
      <c r="FP661" s="1151"/>
      <c r="FQ661" s="1151"/>
      <c r="FR661" s="1151"/>
      <c r="FS661" s="1151"/>
      <c r="FT661" s="1151"/>
      <c r="FU661" s="1151"/>
      <c r="FV661" s="1151"/>
      <c r="FW661" s="1151"/>
      <c r="FX661" s="1151"/>
      <c r="FY661" s="1488"/>
      <c r="FZ661" s="1488"/>
      <c r="GA661" s="1488"/>
      <c r="GB661" s="1485"/>
      <c r="GC661" s="1485"/>
      <c r="GD661" s="1485"/>
      <c r="GE661" s="1485"/>
      <c r="GF661" s="1485"/>
      <c r="GG661" s="1485"/>
      <c r="GH661" s="1485"/>
    </row>
    <row r="662" spans="144:190" s="1295" customFormat="1" x14ac:dyDescent="0.25">
      <c r="EN662" s="1485"/>
      <c r="EO662" s="1485"/>
      <c r="EP662" s="1485"/>
      <c r="EQ662" s="1485"/>
      <c r="ER662" s="1485"/>
      <c r="ES662" s="1485"/>
      <c r="ET662" s="1485"/>
      <c r="EU662" s="1485"/>
      <c r="EV662" s="1485"/>
      <c r="EW662" s="1485"/>
      <c r="EX662" s="1486"/>
      <c r="EY662" s="1486"/>
      <c r="EZ662" s="1487"/>
      <c r="FA662" s="1487"/>
      <c r="FB662" s="1151"/>
      <c r="FC662" s="1151"/>
      <c r="FD662" s="1151"/>
      <c r="FE662" s="1151"/>
      <c r="FF662" s="1151"/>
      <c r="FG662" s="1151"/>
      <c r="FH662" s="1151"/>
      <c r="FI662" s="1151"/>
      <c r="FJ662" s="1151"/>
      <c r="FK662" s="1151"/>
      <c r="FL662" s="1151"/>
      <c r="FM662" s="1151"/>
      <c r="FN662" s="1151"/>
      <c r="FO662" s="1151"/>
      <c r="FP662" s="1151"/>
      <c r="FQ662" s="1151"/>
      <c r="FR662" s="1151"/>
      <c r="FS662" s="1151"/>
      <c r="FT662" s="1151"/>
      <c r="FU662" s="1151"/>
      <c r="FV662" s="1151"/>
      <c r="FW662" s="1151"/>
      <c r="FX662" s="1151"/>
      <c r="FY662" s="1488"/>
      <c r="FZ662" s="1488"/>
      <c r="GA662" s="1488"/>
      <c r="GB662" s="1485"/>
      <c r="GC662" s="1485"/>
      <c r="GD662" s="1485"/>
      <c r="GE662" s="1485"/>
      <c r="GF662" s="1485"/>
      <c r="GG662" s="1485"/>
      <c r="GH662" s="1485"/>
    </row>
    <row r="663" spans="144:190" s="1295" customFormat="1" x14ac:dyDescent="0.25">
      <c r="EN663" s="1485"/>
      <c r="EO663" s="1485"/>
      <c r="EP663" s="1485"/>
      <c r="EQ663" s="1485"/>
      <c r="ER663" s="1485"/>
      <c r="ES663" s="1485"/>
      <c r="ET663" s="1485"/>
      <c r="EU663" s="1485"/>
      <c r="EV663" s="1485"/>
      <c r="EW663" s="1485"/>
      <c r="EX663" s="1486"/>
      <c r="EY663" s="1486"/>
      <c r="EZ663" s="1487"/>
      <c r="FA663" s="1487"/>
      <c r="FB663" s="1151"/>
      <c r="FC663" s="1151"/>
      <c r="FD663" s="1151"/>
      <c r="FE663" s="1151"/>
      <c r="FF663" s="1151"/>
      <c r="FG663" s="1151"/>
      <c r="FH663" s="1151"/>
      <c r="FI663" s="1151"/>
      <c r="FJ663" s="1151"/>
      <c r="FK663" s="1151"/>
      <c r="FL663" s="1151"/>
      <c r="FM663" s="1151"/>
      <c r="FN663" s="1151"/>
      <c r="FO663" s="1151"/>
      <c r="FP663" s="1151"/>
      <c r="FQ663" s="1151"/>
      <c r="FR663" s="1151"/>
      <c r="FS663" s="1151"/>
      <c r="FT663" s="1151"/>
      <c r="FU663" s="1151"/>
      <c r="FV663" s="1151"/>
      <c r="FW663" s="1151"/>
      <c r="FX663" s="1151"/>
      <c r="FY663" s="1488"/>
      <c r="FZ663" s="1488"/>
      <c r="GA663" s="1488"/>
      <c r="GB663" s="1485"/>
      <c r="GC663" s="1485"/>
      <c r="GD663" s="1485"/>
      <c r="GE663" s="1485"/>
      <c r="GF663" s="1485"/>
      <c r="GG663" s="1485"/>
      <c r="GH663" s="1485"/>
    </row>
    <row r="664" spans="144:190" s="1295" customFormat="1" x14ac:dyDescent="0.25">
      <c r="EN664" s="1485"/>
      <c r="EO664" s="1485"/>
      <c r="EP664" s="1485"/>
      <c r="EQ664" s="1485"/>
      <c r="ER664" s="1485"/>
      <c r="ES664" s="1485"/>
      <c r="ET664" s="1485"/>
      <c r="EU664" s="1485"/>
      <c r="EV664" s="1485"/>
      <c r="EW664" s="1485"/>
      <c r="EX664" s="1486"/>
      <c r="EY664" s="1486"/>
      <c r="EZ664" s="1487"/>
      <c r="FA664" s="1487"/>
      <c r="FB664" s="1151"/>
      <c r="FC664" s="1151"/>
      <c r="FD664" s="1151"/>
      <c r="FE664" s="1151"/>
      <c r="FF664" s="1151"/>
      <c r="FG664" s="1151"/>
      <c r="FH664" s="1151"/>
      <c r="FI664" s="1151"/>
      <c r="FJ664" s="1151"/>
      <c r="FK664" s="1151"/>
      <c r="FL664" s="1151"/>
      <c r="FM664" s="1151"/>
      <c r="FN664" s="1151"/>
      <c r="FO664" s="1151"/>
      <c r="FP664" s="1151"/>
      <c r="FQ664" s="1151"/>
      <c r="FR664" s="1151"/>
      <c r="FS664" s="1151"/>
      <c r="FT664" s="1151"/>
      <c r="FU664" s="1151"/>
      <c r="FV664" s="1151"/>
      <c r="FW664" s="1151"/>
      <c r="FX664" s="1151"/>
      <c r="FY664" s="1488"/>
      <c r="FZ664" s="1488"/>
      <c r="GA664" s="1488"/>
      <c r="GB664" s="1485"/>
      <c r="GC664" s="1485"/>
      <c r="GD664" s="1485"/>
      <c r="GE664" s="1485"/>
      <c r="GF664" s="1485"/>
      <c r="GG664" s="1485"/>
      <c r="GH664" s="1485"/>
    </row>
    <row r="665" spans="144:190" s="1295" customFormat="1" x14ac:dyDescent="0.25">
      <c r="EN665" s="1485"/>
      <c r="EO665" s="1485"/>
      <c r="EP665" s="1485"/>
      <c r="EQ665" s="1485"/>
      <c r="ER665" s="1485"/>
      <c r="ES665" s="1485"/>
      <c r="ET665" s="1485"/>
      <c r="EU665" s="1485"/>
      <c r="EV665" s="1485"/>
      <c r="EW665" s="1485"/>
      <c r="EX665" s="1486"/>
      <c r="EY665" s="1486"/>
      <c r="EZ665" s="1487"/>
      <c r="FA665" s="1487"/>
      <c r="FB665" s="1151"/>
      <c r="FC665" s="1151"/>
      <c r="FD665" s="1151"/>
      <c r="FE665" s="1151"/>
      <c r="FF665" s="1151"/>
      <c r="FG665" s="1151"/>
      <c r="FH665" s="1151"/>
      <c r="FI665" s="1151"/>
      <c r="FJ665" s="1151"/>
      <c r="FK665" s="1151"/>
      <c r="FL665" s="1151"/>
      <c r="FM665" s="1151"/>
      <c r="FN665" s="1151"/>
      <c r="FO665" s="1151"/>
      <c r="FP665" s="1151"/>
      <c r="FQ665" s="1151"/>
      <c r="FR665" s="1151"/>
      <c r="FS665" s="1151"/>
      <c r="FT665" s="1151"/>
      <c r="FU665" s="1151"/>
      <c r="FV665" s="1151"/>
      <c r="FW665" s="1151"/>
      <c r="FX665" s="1151"/>
      <c r="FY665" s="1488"/>
      <c r="FZ665" s="1488"/>
      <c r="GA665" s="1488"/>
      <c r="GB665" s="1485"/>
      <c r="GC665" s="1485"/>
      <c r="GD665" s="1485"/>
      <c r="GE665" s="1485"/>
      <c r="GF665" s="1485"/>
      <c r="GG665" s="1485"/>
      <c r="GH665" s="1485"/>
    </row>
    <row r="666" spans="144:190" s="1295" customFormat="1" x14ac:dyDescent="0.25">
      <c r="EN666" s="1485"/>
      <c r="EO666" s="1485"/>
      <c r="EP666" s="1485"/>
      <c r="EQ666" s="1485"/>
      <c r="ER666" s="1485"/>
      <c r="ES666" s="1485"/>
      <c r="ET666" s="1485"/>
      <c r="EU666" s="1485"/>
      <c r="EV666" s="1485"/>
      <c r="EW666" s="1485"/>
      <c r="EX666" s="1486"/>
      <c r="EY666" s="1486"/>
      <c r="EZ666" s="1487"/>
      <c r="FA666" s="1487"/>
      <c r="FB666" s="1151"/>
      <c r="FC666" s="1151"/>
      <c r="FD666" s="1151"/>
      <c r="FE666" s="1151"/>
      <c r="FF666" s="1151"/>
      <c r="FG666" s="1151"/>
      <c r="FH666" s="1151"/>
      <c r="FI666" s="1151"/>
      <c r="FJ666" s="1151"/>
      <c r="FK666" s="1151"/>
      <c r="FL666" s="1151"/>
      <c r="FM666" s="1151"/>
      <c r="FN666" s="1151"/>
      <c r="FO666" s="1151"/>
      <c r="FP666" s="1151"/>
      <c r="FQ666" s="1151"/>
      <c r="FR666" s="1151"/>
      <c r="FS666" s="1151"/>
      <c r="FT666" s="1151"/>
      <c r="FU666" s="1151"/>
      <c r="FV666" s="1151"/>
      <c r="FW666" s="1151"/>
      <c r="FX666" s="1151"/>
      <c r="FY666" s="1488"/>
      <c r="FZ666" s="1488"/>
      <c r="GA666" s="1488"/>
      <c r="GB666" s="1485"/>
      <c r="GC666" s="1485"/>
      <c r="GD666" s="1485"/>
      <c r="GE666" s="1485"/>
      <c r="GF666" s="1485"/>
      <c r="GG666" s="1485"/>
      <c r="GH666" s="1485"/>
    </row>
    <row r="667" spans="144:190" s="1295" customFormat="1" x14ac:dyDescent="0.25">
      <c r="EN667" s="1485"/>
      <c r="EO667" s="1485"/>
      <c r="EP667" s="1485"/>
      <c r="EQ667" s="1485"/>
      <c r="ER667" s="1485"/>
      <c r="ES667" s="1485"/>
      <c r="ET667" s="1485"/>
      <c r="EU667" s="1485"/>
      <c r="EV667" s="1485"/>
      <c r="EW667" s="1485"/>
      <c r="EX667" s="1486"/>
      <c r="EY667" s="1486"/>
      <c r="EZ667" s="1487"/>
      <c r="FA667" s="1487"/>
      <c r="FB667" s="1151"/>
      <c r="FC667" s="1151"/>
      <c r="FD667" s="1151"/>
      <c r="FE667" s="1151"/>
      <c r="FF667" s="1151"/>
      <c r="FG667" s="1151"/>
      <c r="FH667" s="1151"/>
      <c r="FI667" s="1151"/>
      <c r="FJ667" s="1151"/>
      <c r="FK667" s="1151"/>
      <c r="FL667" s="1151"/>
      <c r="FM667" s="1151"/>
      <c r="FN667" s="1151"/>
      <c r="FO667" s="1151"/>
      <c r="FP667" s="1151"/>
      <c r="FQ667" s="1151"/>
      <c r="FR667" s="1151"/>
      <c r="FS667" s="1151"/>
      <c r="FT667" s="1151"/>
      <c r="FU667" s="1151"/>
      <c r="FV667" s="1151"/>
      <c r="FW667" s="1151"/>
      <c r="FX667" s="1151"/>
      <c r="FY667" s="1488"/>
      <c r="FZ667" s="1488"/>
      <c r="GA667" s="1488"/>
      <c r="GB667" s="1485"/>
      <c r="GC667" s="1485"/>
      <c r="GD667" s="1485"/>
      <c r="GE667" s="1485"/>
      <c r="GF667" s="1485"/>
      <c r="GG667" s="1485"/>
      <c r="GH667" s="1485"/>
    </row>
    <row r="668" spans="144:190" s="1295" customFormat="1" x14ac:dyDescent="0.25">
      <c r="EN668" s="1485"/>
      <c r="EO668" s="1485"/>
      <c r="EP668" s="1485"/>
      <c r="EQ668" s="1485"/>
      <c r="ER668" s="1485"/>
      <c r="ES668" s="1485"/>
      <c r="ET668" s="1485"/>
      <c r="EU668" s="1485"/>
      <c r="EV668" s="1485"/>
      <c r="EW668" s="1485"/>
      <c r="EX668" s="1486"/>
      <c r="EY668" s="1486"/>
      <c r="EZ668" s="1487"/>
      <c r="FA668" s="1487"/>
      <c r="FB668" s="1151"/>
      <c r="FC668" s="1151"/>
      <c r="FD668" s="1151"/>
      <c r="FE668" s="1151"/>
      <c r="FF668" s="1151"/>
      <c r="FG668" s="1151"/>
      <c r="FH668" s="1151"/>
      <c r="FI668" s="1151"/>
      <c r="FJ668" s="1151"/>
      <c r="FK668" s="1151"/>
      <c r="FL668" s="1151"/>
      <c r="FM668" s="1151"/>
      <c r="FN668" s="1151"/>
      <c r="FO668" s="1151"/>
      <c r="FP668" s="1151"/>
      <c r="FQ668" s="1151"/>
      <c r="FR668" s="1151"/>
      <c r="FS668" s="1151"/>
      <c r="FT668" s="1151"/>
      <c r="FU668" s="1151"/>
      <c r="FV668" s="1151"/>
      <c r="FW668" s="1151"/>
      <c r="FX668" s="1151"/>
      <c r="FY668" s="1488"/>
      <c r="FZ668" s="1488"/>
      <c r="GA668" s="1488"/>
      <c r="GB668" s="1485"/>
      <c r="GC668" s="1485"/>
      <c r="GD668" s="1485"/>
      <c r="GE668" s="1485"/>
      <c r="GF668" s="1485"/>
      <c r="GG668" s="1485"/>
      <c r="GH668" s="1485"/>
    </row>
    <row r="669" spans="144:190" s="1295" customFormat="1" x14ac:dyDescent="0.25">
      <c r="EN669" s="1485"/>
      <c r="EO669" s="1485"/>
      <c r="EP669" s="1485"/>
      <c r="EQ669" s="1485"/>
      <c r="ER669" s="1485"/>
      <c r="ES669" s="1485"/>
      <c r="ET669" s="1485"/>
      <c r="EU669" s="1485"/>
      <c r="EV669" s="1485"/>
      <c r="EW669" s="1485"/>
      <c r="EX669" s="1486"/>
      <c r="EY669" s="1486"/>
      <c r="EZ669" s="1487"/>
      <c r="FA669" s="1487"/>
      <c r="FB669" s="1151"/>
      <c r="FC669" s="1151"/>
      <c r="FD669" s="1151"/>
      <c r="FE669" s="1151"/>
      <c r="FF669" s="1151"/>
      <c r="FG669" s="1151"/>
      <c r="FH669" s="1151"/>
      <c r="FI669" s="1151"/>
      <c r="FJ669" s="1151"/>
      <c r="FK669" s="1151"/>
      <c r="FL669" s="1151"/>
      <c r="FM669" s="1151"/>
      <c r="FN669" s="1151"/>
      <c r="FO669" s="1151"/>
      <c r="FP669" s="1151"/>
      <c r="FQ669" s="1151"/>
      <c r="FR669" s="1151"/>
      <c r="FS669" s="1151"/>
      <c r="FT669" s="1151"/>
      <c r="FU669" s="1151"/>
      <c r="FV669" s="1151"/>
      <c r="FW669" s="1151"/>
      <c r="FX669" s="1151"/>
      <c r="FY669" s="1488"/>
      <c r="FZ669" s="1488"/>
      <c r="GA669" s="1488"/>
      <c r="GB669" s="1485"/>
      <c r="GC669" s="1485"/>
      <c r="GD669" s="1485"/>
      <c r="GE669" s="1485"/>
      <c r="GF669" s="1485"/>
      <c r="GG669" s="1485"/>
      <c r="GH669" s="1485"/>
    </row>
    <row r="670" spans="144:190" s="1295" customFormat="1" x14ac:dyDescent="0.25">
      <c r="EN670" s="1485"/>
      <c r="EO670" s="1485"/>
      <c r="EP670" s="1485"/>
      <c r="EQ670" s="1485"/>
      <c r="ER670" s="1485"/>
      <c r="ES670" s="1485"/>
      <c r="ET670" s="1485"/>
      <c r="EU670" s="1485"/>
      <c r="EV670" s="1485"/>
      <c r="EW670" s="1485"/>
      <c r="EX670" s="1486"/>
      <c r="EY670" s="1486"/>
      <c r="EZ670" s="1487"/>
      <c r="FA670" s="1487"/>
      <c r="FB670" s="1151"/>
      <c r="FC670" s="1151"/>
      <c r="FD670" s="1151"/>
      <c r="FE670" s="1151"/>
      <c r="FF670" s="1151"/>
      <c r="FG670" s="1151"/>
      <c r="FH670" s="1151"/>
      <c r="FI670" s="1151"/>
      <c r="FJ670" s="1151"/>
      <c r="FK670" s="1151"/>
      <c r="FL670" s="1151"/>
      <c r="FM670" s="1151"/>
      <c r="FN670" s="1151"/>
      <c r="FO670" s="1151"/>
      <c r="FP670" s="1151"/>
      <c r="FQ670" s="1151"/>
      <c r="FR670" s="1151"/>
      <c r="FS670" s="1151"/>
      <c r="FT670" s="1151"/>
      <c r="FU670" s="1151"/>
      <c r="FV670" s="1151"/>
      <c r="FW670" s="1151"/>
      <c r="FX670" s="1151"/>
      <c r="FY670" s="1488"/>
      <c r="FZ670" s="1488"/>
      <c r="GA670" s="1488"/>
      <c r="GB670" s="1485"/>
      <c r="GC670" s="1485"/>
      <c r="GD670" s="1485"/>
      <c r="GE670" s="1485"/>
      <c r="GF670" s="1485"/>
      <c r="GG670" s="1485"/>
      <c r="GH670" s="1485"/>
    </row>
    <row r="671" spans="144:190" s="1295" customFormat="1" x14ac:dyDescent="0.25">
      <c r="EN671" s="1485"/>
      <c r="EO671" s="1485"/>
      <c r="EP671" s="1485"/>
      <c r="EQ671" s="1485"/>
      <c r="ER671" s="1485"/>
      <c r="ES671" s="1485"/>
      <c r="ET671" s="1485"/>
      <c r="EU671" s="1485"/>
      <c r="EV671" s="1485"/>
      <c r="EW671" s="1485"/>
      <c r="EX671" s="1486"/>
      <c r="EY671" s="1486"/>
      <c r="EZ671" s="1487"/>
      <c r="FA671" s="1487"/>
      <c r="FB671" s="1151"/>
      <c r="FC671" s="1151"/>
      <c r="FD671" s="1151"/>
      <c r="FE671" s="1151"/>
      <c r="FF671" s="1151"/>
      <c r="FG671" s="1151"/>
      <c r="FH671" s="1151"/>
      <c r="FI671" s="1151"/>
      <c r="FJ671" s="1151"/>
      <c r="FK671" s="1151"/>
      <c r="FL671" s="1151"/>
      <c r="FM671" s="1151"/>
      <c r="FN671" s="1151"/>
      <c r="FO671" s="1151"/>
      <c r="FP671" s="1151"/>
      <c r="FQ671" s="1151"/>
      <c r="FR671" s="1151"/>
      <c r="FS671" s="1151"/>
      <c r="FT671" s="1151"/>
      <c r="FU671" s="1151"/>
      <c r="FV671" s="1151"/>
      <c r="FW671" s="1151"/>
      <c r="FX671" s="1151"/>
      <c r="FY671" s="1488"/>
      <c r="FZ671" s="1488"/>
      <c r="GA671" s="1488"/>
      <c r="GB671" s="1485"/>
      <c r="GC671" s="1485"/>
      <c r="GD671" s="1485"/>
      <c r="GE671" s="1485"/>
      <c r="GF671" s="1485"/>
      <c r="GG671" s="1485"/>
      <c r="GH671" s="1485"/>
    </row>
    <row r="672" spans="144:190" s="1295" customFormat="1" x14ac:dyDescent="0.25">
      <c r="EN672" s="1485"/>
      <c r="EO672" s="1485"/>
      <c r="EP672" s="1485"/>
      <c r="EQ672" s="1485"/>
      <c r="ER672" s="1485"/>
      <c r="ES672" s="1485"/>
      <c r="ET672" s="1485"/>
      <c r="EU672" s="1485"/>
      <c r="EV672" s="1485"/>
      <c r="EW672" s="1485"/>
      <c r="EX672" s="1486"/>
      <c r="EY672" s="1486"/>
      <c r="EZ672" s="1487"/>
      <c r="FA672" s="1487"/>
      <c r="FB672" s="1151"/>
      <c r="FC672" s="1151"/>
      <c r="FD672" s="1151"/>
      <c r="FE672" s="1151"/>
      <c r="FF672" s="1151"/>
      <c r="FG672" s="1151"/>
      <c r="FH672" s="1151"/>
      <c r="FI672" s="1151"/>
      <c r="FJ672" s="1151"/>
      <c r="FK672" s="1151"/>
      <c r="FL672" s="1151"/>
      <c r="FM672" s="1151"/>
      <c r="FN672" s="1151"/>
      <c r="FO672" s="1151"/>
      <c r="FP672" s="1151"/>
      <c r="FQ672" s="1151"/>
      <c r="FR672" s="1151"/>
      <c r="FS672" s="1151"/>
      <c r="FT672" s="1151"/>
      <c r="FU672" s="1151"/>
      <c r="FV672" s="1151"/>
      <c r="FW672" s="1151"/>
      <c r="FX672" s="1151"/>
      <c r="FY672" s="1488"/>
      <c r="FZ672" s="1488"/>
      <c r="GA672" s="1488"/>
      <c r="GB672" s="1485"/>
      <c r="GC672" s="1485"/>
      <c r="GD672" s="1485"/>
      <c r="GE672" s="1485"/>
      <c r="GF672" s="1485"/>
      <c r="GG672" s="1485"/>
      <c r="GH672" s="1485"/>
    </row>
    <row r="673" spans="144:190" s="1295" customFormat="1" x14ac:dyDescent="0.25">
      <c r="EN673" s="1485"/>
      <c r="EO673" s="1485"/>
      <c r="EP673" s="1485"/>
      <c r="EQ673" s="1485"/>
      <c r="ER673" s="1485"/>
      <c r="ES673" s="1485"/>
      <c r="ET673" s="1485"/>
      <c r="EU673" s="1485"/>
      <c r="EV673" s="1485"/>
      <c r="EW673" s="1485"/>
      <c r="EX673" s="1486"/>
      <c r="EY673" s="1486"/>
      <c r="EZ673" s="1487"/>
      <c r="FA673" s="1487"/>
      <c r="FB673" s="1151"/>
      <c r="FC673" s="1151"/>
      <c r="FD673" s="1151"/>
      <c r="FE673" s="1151"/>
      <c r="FF673" s="1151"/>
      <c r="FG673" s="1151"/>
      <c r="FH673" s="1151"/>
      <c r="FI673" s="1151"/>
      <c r="FJ673" s="1151"/>
      <c r="FK673" s="1151"/>
      <c r="FL673" s="1151"/>
      <c r="FM673" s="1151"/>
      <c r="FN673" s="1151"/>
      <c r="FO673" s="1151"/>
      <c r="FP673" s="1151"/>
      <c r="FQ673" s="1151"/>
      <c r="FR673" s="1151"/>
      <c r="FS673" s="1151"/>
      <c r="FT673" s="1151"/>
      <c r="FU673" s="1151"/>
      <c r="FV673" s="1151"/>
      <c r="FW673" s="1151"/>
      <c r="FX673" s="1151"/>
      <c r="FY673" s="1488"/>
      <c r="FZ673" s="1488"/>
      <c r="GA673" s="1488"/>
      <c r="GB673" s="1485"/>
      <c r="GC673" s="1485"/>
      <c r="GD673" s="1485"/>
      <c r="GE673" s="1485"/>
      <c r="GF673" s="1485"/>
      <c r="GG673" s="1485"/>
      <c r="GH673" s="1485"/>
    </row>
    <row r="674" spans="144:190" s="1295" customFormat="1" x14ac:dyDescent="0.25">
      <c r="EN674" s="1485"/>
      <c r="EO674" s="1485"/>
      <c r="EP674" s="1485"/>
      <c r="EQ674" s="1485"/>
      <c r="ER674" s="1485"/>
      <c r="ES674" s="1485"/>
      <c r="ET674" s="1485"/>
      <c r="EU674" s="1485"/>
      <c r="EV674" s="1485"/>
      <c r="EW674" s="1485"/>
      <c r="EX674" s="1486"/>
      <c r="EY674" s="1486"/>
      <c r="EZ674" s="1487"/>
      <c r="FA674" s="1487"/>
      <c r="FB674" s="1151"/>
      <c r="FC674" s="1151"/>
      <c r="FD674" s="1151"/>
      <c r="FE674" s="1151"/>
      <c r="FF674" s="1151"/>
      <c r="FG674" s="1151"/>
      <c r="FH674" s="1151"/>
      <c r="FI674" s="1151"/>
      <c r="FJ674" s="1151"/>
      <c r="FK674" s="1151"/>
      <c r="FL674" s="1151"/>
      <c r="FM674" s="1151"/>
      <c r="FN674" s="1151"/>
      <c r="FO674" s="1151"/>
      <c r="FP674" s="1151"/>
      <c r="FQ674" s="1151"/>
      <c r="FR674" s="1151"/>
      <c r="FS674" s="1151"/>
      <c r="FT674" s="1151"/>
      <c r="FU674" s="1151"/>
      <c r="FV674" s="1151"/>
      <c r="FW674" s="1151"/>
      <c r="FX674" s="1151"/>
      <c r="FY674" s="1488"/>
      <c r="FZ674" s="1488"/>
      <c r="GA674" s="1488"/>
      <c r="GB674" s="1485"/>
      <c r="GC674" s="1485"/>
      <c r="GD674" s="1485"/>
      <c r="GE674" s="1485"/>
      <c r="GF674" s="1485"/>
      <c r="GG674" s="1485"/>
      <c r="GH674" s="1485"/>
    </row>
    <row r="675" spans="144:190" s="1295" customFormat="1" x14ac:dyDescent="0.25">
      <c r="EN675" s="1485"/>
      <c r="EO675" s="1485"/>
      <c r="EP675" s="1485"/>
      <c r="EQ675" s="1485"/>
      <c r="ER675" s="1485"/>
      <c r="ES675" s="1485"/>
      <c r="ET675" s="1485"/>
      <c r="EU675" s="1485"/>
      <c r="EV675" s="1485"/>
      <c r="EW675" s="1485"/>
      <c r="EX675" s="1486"/>
      <c r="EY675" s="1486"/>
      <c r="EZ675" s="1487"/>
      <c r="FA675" s="1487"/>
      <c r="FB675" s="1151"/>
      <c r="FC675" s="1151"/>
      <c r="FD675" s="1151"/>
      <c r="FE675" s="1151"/>
      <c r="FF675" s="1151"/>
      <c r="FG675" s="1151"/>
      <c r="FH675" s="1151"/>
      <c r="FI675" s="1151"/>
      <c r="FJ675" s="1151"/>
      <c r="FK675" s="1151"/>
      <c r="FL675" s="1151"/>
      <c r="FM675" s="1151"/>
      <c r="FN675" s="1151"/>
      <c r="FO675" s="1151"/>
      <c r="FP675" s="1151"/>
      <c r="FQ675" s="1151"/>
      <c r="FR675" s="1151"/>
      <c r="FS675" s="1151"/>
      <c r="FT675" s="1151"/>
      <c r="FU675" s="1151"/>
      <c r="FV675" s="1151"/>
      <c r="FW675" s="1151"/>
      <c r="FX675" s="1151"/>
      <c r="FY675" s="1488"/>
      <c r="FZ675" s="1488"/>
      <c r="GA675" s="1488"/>
      <c r="GB675" s="1485"/>
      <c r="GC675" s="1485"/>
      <c r="GD675" s="1485"/>
      <c r="GE675" s="1485"/>
      <c r="GF675" s="1485"/>
      <c r="GG675" s="1485"/>
      <c r="GH675" s="1485"/>
    </row>
    <row r="676" spans="144:190" s="1295" customFormat="1" x14ac:dyDescent="0.25">
      <c r="EN676" s="1485"/>
      <c r="EO676" s="1485"/>
      <c r="EP676" s="1485"/>
      <c r="EQ676" s="1485"/>
      <c r="ER676" s="1485"/>
      <c r="ES676" s="1485"/>
      <c r="ET676" s="1485"/>
      <c r="EU676" s="1485"/>
      <c r="EV676" s="1485"/>
      <c r="EW676" s="1485"/>
      <c r="EX676" s="1486"/>
      <c r="EY676" s="1486"/>
      <c r="EZ676" s="1487"/>
      <c r="FA676" s="1487"/>
      <c r="FB676" s="1151"/>
      <c r="FC676" s="1151"/>
      <c r="FD676" s="1151"/>
      <c r="FE676" s="1151"/>
      <c r="FF676" s="1151"/>
      <c r="FG676" s="1151"/>
      <c r="FH676" s="1151"/>
      <c r="FI676" s="1151"/>
      <c r="FJ676" s="1151"/>
      <c r="FK676" s="1151"/>
      <c r="FL676" s="1151"/>
      <c r="FM676" s="1151"/>
      <c r="FN676" s="1151"/>
      <c r="FO676" s="1151"/>
      <c r="FP676" s="1151"/>
      <c r="FQ676" s="1151"/>
      <c r="FR676" s="1151"/>
      <c r="FS676" s="1151"/>
      <c r="FT676" s="1151"/>
      <c r="FU676" s="1151"/>
      <c r="FV676" s="1151"/>
      <c r="FW676" s="1151"/>
      <c r="FX676" s="1151"/>
      <c r="FY676" s="1488"/>
      <c r="FZ676" s="1488"/>
      <c r="GA676" s="1488"/>
      <c r="GB676" s="1485"/>
      <c r="GC676" s="1485"/>
      <c r="GD676" s="1485"/>
      <c r="GE676" s="1485"/>
      <c r="GF676" s="1485"/>
      <c r="GG676" s="1485"/>
      <c r="GH676" s="1485"/>
    </row>
    <row r="677" spans="144:190" s="1295" customFormat="1" x14ac:dyDescent="0.25">
      <c r="EN677" s="1485"/>
      <c r="EO677" s="1485"/>
      <c r="EP677" s="1485"/>
      <c r="EQ677" s="1485"/>
      <c r="ER677" s="1485"/>
      <c r="ES677" s="1485"/>
      <c r="ET677" s="1485"/>
      <c r="EU677" s="1485"/>
      <c r="EV677" s="1485"/>
      <c r="EW677" s="1485"/>
      <c r="EX677" s="1486"/>
      <c r="EY677" s="1486"/>
      <c r="EZ677" s="1487"/>
      <c r="FA677" s="1487"/>
      <c r="FB677" s="1151"/>
      <c r="FC677" s="1151"/>
      <c r="FD677" s="1151"/>
      <c r="FE677" s="1151"/>
      <c r="FF677" s="1151"/>
      <c r="FG677" s="1151"/>
      <c r="FH677" s="1151"/>
      <c r="FI677" s="1151"/>
      <c r="FJ677" s="1151"/>
      <c r="FK677" s="1151"/>
      <c r="FL677" s="1151"/>
      <c r="FM677" s="1151"/>
      <c r="FN677" s="1151"/>
      <c r="FO677" s="1151"/>
      <c r="FP677" s="1151"/>
      <c r="FQ677" s="1151"/>
      <c r="FR677" s="1151"/>
      <c r="FS677" s="1151"/>
      <c r="FT677" s="1151"/>
      <c r="FU677" s="1151"/>
      <c r="FV677" s="1151"/>
      <c r="FW677" s="1151"/>
      <c r="FX677" s="1151"/>
      <c r="FY677" s="1488"/>
      <c r="FZ677" s="1488"/>
      <c r="GA677" s="1488"/>
      <c r="GB677" s="1485"/>
      <c r="GC677" s="1485"/>
      <c r="GD677" s="1485"/>
      <c r="GE677" s="1485"/>
      <c r="GF677" s="1485"/>
      <c r="GG677" s="1485"/>
      <c r="GH677" s="1485"/>
    </row>
    <row r="678" spans="144:190" s="1295" customFormat="1" x14ac:dyDescent="0.25">
      <c r="EN678" s="1485"/>
      <c r="EO678" s="1485"/>
      <c r="EP678" s="1485"/>
      <c r="EQ678" s="1485"/>
      <c r="ER678" s="1485"/>
      <c r="ES678" s="1485"/>
      <c r="ET678" s="1485"/>
      <c r="EU678" s="1485"/>
      <c r="EV678" s="1485"/>
      <c r="EW678" s="1485"/>
      <c r="EX678" s="1486"/>
      <c r="EY678" s="1486"/>
      <c r="EZ678" s="1487"/>
      <c r="FA678" s="1487"/>
      <c r="FB678" s="1151"/>
      <c r="FC678" s="1151"/>
      <c r="FD678" s="1151"/>
      <c r="FE678" s="1151"/>
      <c r="FF678" s="1151"/>
      <c r="FG678" s="1151"/>
      <c r="FH678" s="1151"/>
      <c r="FI678" s="1151"/>
      <c r="FJ678" s="1151"/>
      <c r="FK678" s="1151"/>
      <c r="FL678" s="1151"/>
      <c r="FM678" s="1151"/>
      <c r="FN678" s="1151"/>
      <c r="FO678" s="1151"/>
      <c r="FP678" s="1151"/>
      <c r="FQ678" s="1151"/>
      <c r="FR678" s="1151"/>
      <c r="FS678" s="1151"/>
      <c r="FT678" s="1151"/>
      <c r="FU678" s="1151"/>
      <c r="FV678" s="1151"/>
      <c r="FW678" s="1151"/>
      <c r="FX678" s="1151"/>
      <c r="FY678" s="1488"/>
      <c r="FZ678" s="1488"/>
      <c r="GA678" s="1488"/>
      <c r="GB678" s="1485"/>
      <c r="GC678" s="1485"/>
      <c r="GD678" s="1485"/>
      <c r="GE678" s="1485"/>
      <c r="GF678" s="1485"/>
      <c r="GG678" s="1485"/>
      <c r="GH678" s="1485"/>
    </row>
    <row r="679" spans="144:190" s="1295" customFormat="1" x14ac:dyDescent="0.25">
      <c r="EN679" s="1485"/>
      <c r="EO679" s="1485"/>
      <c r="EP679" s="1485"/>
      <c r="EQ679" s="1485"/>
      <c r="ER679" s="1485"/>
      <c r="ES679" s="1485"/>
      <c r="ET679" s="1485"/>
      <c r="EU679" s="1485"/>
      <c r="EV679" s="1485"/>
      <c r="EW679" s="1485"/>
      <c r="EX679" s="1486"/>
      <c r="EY679" s="1486"/>
      <c r="EZ679" s="1487"/>
      <c r="FA679" s="1487"/>
      <c r="FB679" s="1151"/>
      <c r="FC679" s="1151"/>
      <c r="FD679" s="1151"/>
      <c r="FE679" s="1151"/>
      <c r="FF679" s="1151"/>
      <c r="FG679" s="1151"/>
      <c r="FH679" s="1151"/>
      <c r="FI679" s="1151"/>
      <c r="FJ679" s="1151"/>
      <c r="FK679" s="1151"/>
      <c r="FL679" s="1151"/>
      <c r="FM679" s="1151"/>
      <c r="FN679" s="1151"/>
      <c r="FO679" s="1151"/>
      <c r="FP679" s="1151"/>
      <c r="FQ679" s="1151"/>
      <c r="FR679" s="1151"/>
      <c r="FS679" s="1151"/>
      <c r="FT679" s="1151"/>
      <c r="FU679" s="1151"/>
      <c r="FV679" s="1151"/>
      <c r="FW679" s="1151"/>
      <c r="FX679" s="1151"/>
      <c r="FY679" s="1488"/>
      <c r="FZ679" s="1488"/>
      <c r="GA679" s="1488"/>
      <c r="GB679" s="1485"/>
      <c r="GC679" s="1485"/>
      <c r="GD679" s="1485"/>
      <c r="GE679" s="1485"/>
      <c r="GF679" s="1485"/>
      <c r="GG679" s="1485"/>
      <c r="GH679" s="1485"/>
    </row>
    <row r="680" spans="144:190" s="1295" customFormat="1" x14ac:dyDescent="0.25">
      <c r="EN680" s="1485"/>
      <c r="EO680" s="1485"/>
      <c r="EP680" s="1485"/>
      <c r="EQ680" s="1485"/>
      <c r="ER680" s="1485"/>
      <c r="ES680" s="1485"/>
      <c r="ET680" s="1485"/>
      <c r="EU680" s="1485"/>
      <c r="EV680" s="1485"/>
      <c r="EW680" s="1485"/>
      <c r="EX680" s="1486"/>
      <c r="EY680" s="1486"/>
      <c r="EZ680" s="1487"/>
      <c r="FA680" s="1487"/>
      <c r="FB680" s="1151"/>
      <c r="FC680" s="1151"/>
      <c r="FD680" s="1151"/>
      <c r="FE680" s="1151"/>
      <c r="FF680" s="1151"/>
      <c r="FG680" s="1151"/>
      <c r="FH680" s="1151"/>
      <c r="FI680" s="1151"/>
      <c r="FJ680" s="1151"/>
      <c r="FK680" s="1151"/>
      <c r="FL680" s="1151"/>
      <c r="FM680" s="1151"/>
      <c r="FN680" s="1151"/>
      <c r="FO680" s="1151"/>
      <c r="FP680" s="1151"/>
      <c r="FQ680" s="1151"/>
      <c r="FR680" s="1151"/>
      <c r="FS680" s="1151"/>
      <c r="FT680" s="1151"/>
      <c r="FU680" s="1151"/>
      <c r="FV680" s="1151"/>
      <c r="FW680" s="1151"/>
      <c r="FX680" s="1151"/>
      <c r="FY680" s="1488"/>
      <c r="FZ680" s="1488"/>
      <c r="GA680" s="1488"/>
      <c r="GB680" s="1485"/>
      <c r="GC680" s="1485"/>
      <c r="GD680" s="1485"/>
      <c r="GE680" s="1485"/>
      <c r="GF680" s="1485"/>
      <c r="GG680" s="1485"/>
      <c r="GH680" s="1485"/>
    </row>
    <row r="681" spans="144:190" s="1295" customFormat="1" x14ac:dyDescent="0.25">
      <c r="EN681" s="1485"/>
      <c r="EO681" s="1485"/>
      <c r="EP681" s="1485"/>
      <c r="EQ681" s="1485"/>
      <c r="ER681" s="1485"/>
      <c r="ES681" s="1485"/>
      <c r="ET681" s="1485"/>
      <c r="EU681" s="1485"/>
      <c r="EV681" s="1485"/>
      <c r="EW681" s="1485"/>
      <c r="EX681" s="1486"/>
      <c r="EY681" s="1486"/>
      <c r="EZ681" s="1487"/>
      <c r="FA681" s="1487"/>
      <c r="FB681" s="1151"/>
      <c r="FC681" s="1151"/>
      <c r="FD681" s="1151"/>
      <c r="FE681" s="1151"/>
      <c r="FF681" s="1151"/>
      <c r="FG681" s="1151"/>
      <c r="FH681" s="1151"/>
      <c r="FI681" s="1151"/>
      <c r="FJ681" s="1151"/>
      <c r="FK681" s="1151"/>
      <c r="FL681" s="1151"/>
      <c r="FM681" s="1151"/>
      <c r="FN681" s="1151"/>
      <c r="FO681" s="1151"/>
      <c r="FP681" s="1151"/>
      <c r="FQ681" s="1151"/>
      <c r="FR681" s="1151"/>
      <c r="FS681" s="1151"/>
      <c r="FT681" s="1151"/>
      <c r="FU681" s="1151"/>
      <c r="FV681" s="1151"/>
      <c r="FW681" s="1151"/>
      <c r="FX681" s="1151"/>
      <c r="FY681" s="1488"/>
      <c r="FZ681" s="1488"/>
      <c r="GA681" s="1488"/>
      <c r="GB681" s="1485"/>
      <c r="GC681" s="1485"/>
      <c r="GD681" s="1485"/>
      <c r="GE681" s="1485"/>
      <c r="GF681" s="1485"/>
      <c r="GG681" s="1485"/>
      <c r="GH681" s="1485"/>
    </row>
    <row r="682" spans="144:190" s="1295" customFormat="1" x14ac:dyDescent="0.25">
      <c r="EN682" s="1485"/>
      <c r="EO682" s="1485"/>
      <c r="EP682" s="1485"/>
      <c r="EQ682" s="1485"/>
      <c r="ER682" s="1485"/>
      <c r="ES682" s="1485"/>
      <c r="ET682" s="1485"/>
      <c r="EU682" s="1485"/>
      <c r="EV682" s="1485"/>
      <c r="EW682" s="1485"/>
      <c r="EX682" s="1486"/>
      <c r="EY682" s="1486"/>
      <c r="EZ682" s="1487"/>
      <c r="FA682" s="1487"/>
      <c r="FB682" s="1151"/>
      <c r="FC682" s="1151"/>
      <c r="FD682" s="1151"/>
      <c r="FE682" s="1151"/>
      <c r="FF682" s="1151"/>
      <c r="FG682" s="1151"/>
      <c r="FH682" s="1151"/>
      <c r="FI682" s="1151"/>
      <c r="FJ682" s="1151"/>
      <c r="FK682" s="1151"/>
      <c r="FL682" s="1151"/>
      <c r="FM682" s="1151"/>
      <c r="FN682" s="1151"/>
      <c r="FO682" s="1151"/>
      <c r="FP682" s="1151"/>
      <c r="FQ682" s="1151"/>
      <c r="FR682" s="1151"/>
      <c r="FS682" s="1151"/>
      <c r="FT682" s="1151"/>
      <c r="FU682" s="1151"/>
      <c r="FV682" s="1151"/>
      <c r="FW682" s="1151"/>
      <c r="FX682" s="1151"/>
      <c r="FY682" s="1488"/>
      <c r="FZ682" s="1488"/>
      <c r="GA682" s="1488"/>
      <c r="GB682" s="1485"/>
      <c r="GC682" s="1485"/>
      <c r="GD682" s="1485"/>
      <c r="GE682" s="1485"/>
      <c r="GF682" s="1485"/>
      <c r="GG682" s="1485"/>
      <c r="GH682" s="1485"/>
    </row>
    <row r="683" spans="144:190" s="1295" customFormat="1" x14ac:dyDescent="0.25">
      <c r="EN683" s="1485"/>
      <c r="EO683" s="1485"/>
      <c r="EP683" s="1485"/>
      <c r="EQ683" s="1485"/>
      <c r="ER683" s="1485"/>
      <c r="ES683" s="1485"/>
      <c r="ET683" s="1485"/>
      <c r="EU683" s="1485"/>
      <c r="EV683" s="1485"/>
      <c r="EW683" s="1485"/>
      <c r="EX683" s="1486"/>
      <c r="EY683" s="1486"/>
      <c r="EZ683" s="1487"/>
      <c r="FA683" s="1487"/>
      <c r="FB683" s="1151"/>
      <c r="FC683" s="1151"/>
      <c r="FD683" s="1151"/>
      <c r="FE683" s="1151"/>
      <c r="FF683" s="1151"/>
      <c r="FG683" s="1151"/>
      <c r="FH683" s="1151"/>
      <c r="FI683" s="1151"/>
      <c r="FJ683" s="1151"/>
      <c r="FK683" s="1151"/>
      <c r="FL683" s="1151"/>
      <c r="FM683" s="1151"/>
      <c r="FN683" s="1151"/>
      <c r="FO683" s="1151"/>
      <c r="FP683" s="1151"/>
      <c r="FQ683" s="1151"/>
      <c r="FR683" s="1151"/>
      <c r="FS683" s="1151"/>
      <c r="FT683" s="1151"/>
      <c r="FU683" s="1151"/>
      <c r="FV683" s="1151"/>
      <c r="FW683" s="1151"/>
      <c r="FX683" s="1151"/>
      <c r="FY683" s="1488"/>
      <c r="FZ683" s="1488"/>
      <c r="GA683" s="1488"/>
      <c r="GB683" s="1485"/>
      <c r="GC683" s="1485"/>
      <c r="GD683" s="1485"/>
      <c r="GE683" s="1485"/>
      <c r="GF683" s="1485"/>
      <c r="GG683" s="1485"/>
      <c r="GH683" s="1485"/>
    </row>
  </sheetData>
  <sheetProtection insertColumns="0" insertRows="0" insertHyperlinks="0" sort="0" autoFilter="0" pivotTables="0"/>
  <mergeCells count="48">
    <mergeCell ref="A7:G7"/>
    <mergeCell ref="A1:G2"/>
    <mergeCell ref="A3:G3"/>
    <mergeCell ref="F4:G4"/>
    <mergeCell ref="F5:G5"/>
    <mergeCell ref="A6:G6"/>
    <mergeCell ref="F8:G8"/>
    <mergeCell ref="F9:G9"/>
    <mergeCell ref="F10:G10"/>
    <mergeCell ref="D11:D16"/>
    <mergeCell ref="F11:G11"/>
    <mergeCell ref="F12:G12"/>
    <mergeCell ref="F13:G13"/>
    <mergeCell ref="F15:G15"/>
    <mergeCell ref="F14:G14"/>
    <mergeCell ref="F31:G31"/>
    <mergeCell ref="F16:G16"/>
    <mergeCell ref="A17:G17"/>
    <mergeCell ref="F20:G20"/>
    <mergeCell ref="F21:G21"/>
    <mergeCell ref="F22:G22"/>
    <mergeCell ref="A24:G24"/>
    <mergeCell ref="F26:G26"/>
    <mergeCell ref="A27:G27"/>
    <mergeCell ref="A28:G28"/>
    <mergeCell ref="D29:D30"/>
    <mergeCell ref="D20:D23"/>
    <mergeCell ref="F23:G23"/>
    <mergeCell ref="F19:G19"/>
    <mergeCell ref="F42:G42"/>
    <mergeCell ref="F38:G38"/>
    <mergeCell ref="F32:G32"/>
    <mergeCell ref="A33:G33"/>
    <mergeCell ref="D34:D35"/>
    <mergeCell ref="F34:G34"/>
    <mergeCell ref="F35:G35"/>
    <mergeCell ref="A36:G36"/>
    <mergeCell ref="F37:G37"/>
    <mergeCell ref="A39:G39"/>
    <mergeCell ref="A40:G40"/>
    <mergeCell ref="F41:G41"/>
    <mergeCell ref="A54:B54"/>
    <mergeCell ref="F43:G43"/>
    <mergeCell ref="F44:G44"/>
    <mergeCell ref="F45:G45"/>
    <mergeCell ref="F46:G46"/>
    <mergeCell ref="F47:G47"/>
    <mergeCell ref="F48:G48"/>
  </mergeCells>
  <printOptions horizontalCentered="1"/>
  <pageMargins left="0.31496062992125984" right="0" top="0" bottom="0" header="0" footer="0"/>
  <pageSetup paperSize="9" scale="64" orientation="portrait" r:id="rId1"/>
  <headerFooter alignWithMargins="0">
    <oddFooter>&amp;R&amp;14Стр. &amp;P из  &amp;N
&amp;A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51"/>
  <sheetViews>
    <sheetView topLeftCell="A40" zoomScale="20" zoomScaleNormal="20" zoomScaleSheetLayoutView="20" zoomScalePageLayoutView="25" workbookViewId="0">
      <selection sqref="A1:C2"/>
    </sheetView>
  </sheetViews>
  <sheetFormatPr defaultRowHeight="14.25" x14ac:dyDescent="0.2"/>
  <cols>
    <col min="1" max="1" width="0.5703125" style="274" customWidth="1"/>
    <col min="2" max="2" width="125.42578125" style="274" customWidth="1"/>
    <col min="3" max="3" width="112.7109375" style="274" customWidth="1"/>
    <col min="4" max="4" width="228.7109375" style="274" customWidth="1"/>
    <col min="5" max="5" width="148.140625" style="274" customWidth="1"/>
    <col min="6" max="6" width="39.140625" style="302" customWidth="1"/>
    <col min="7" max="7" width="65.140625" style="303" customWidth="1"/>
    <col min="8" max="8" width="63.85546875" style="304" customWidth="1"/>
    <col min="9" max="9" width="9.140625" style="290"/>
    <col min="10" max="256" width="9.140625" style="274"/>
    <col min="257" max="257" width="0.5703125" style="274" customWidth="1"/>
    <col min="258" max="258" width="125.42578125" style="274" customWidth="1"/>
    <col min="259" max="259" width="112.7109375" style="274" customWidth="1"/>
    <col min="260" max="260" width="195.85546875" style="274" customWidth="1"/>
    <col min="261" max="261" width="148.140625" style="274" customWidth="1"/>
    <col min="262" max="262" width="39.140625" style="274" customWidth="1"/>
    <col min="263" max="263" width="65.140625" style="274" customWidth="1"/>
    <col min="264" max="264" width="63.85546875" style="274" customWidth="1"/>
    <col min="265" max="512" width="9.140625" style="274"/>
    <col min="513" max="513" width="0.5703125" style="274" customWidth="1"/>
    <col min="514" max="514" width="125.42578125" style="274" customWidth="1"/>
    <col min="515" max="515" width="112.7109375" style="274" customWidth="1"/>
    <col min="516" max="516" width="195.85546875" style="274" customWidth="1"/>
    <col min="517" max="517" width="148.140625" style="274" customWidth="1"/>
    <col min="518" max="518" width="39.140625" style="274" customWidth="1"/>
    <col min="519" max="519" width="65.140625" style="274" customWidth="1"/>
    <col min="520" max="520" width="63.85546875" style="274" customWidth="1"/>
    <col min="521" max="768" width="9.140625" style="274"/>
    <col min="769" max="769" width="0.5703125" style="274" customWidth="1"/>
    <col min="770" max="770" width="125.42578125" style="274" customWidth="1"/>
    <col min="771" max="771" width="112.7109375" style="274" customWidth="1"/>
    <col min="772" max="772" width="195.85546875" style="274" customWidth="1"/>
    <col min="773" max="773" width="148.140625" style="274" customWidth="1"/>
    <col min="774" max="774" width="39.140625" style="274" customWidth="1"/>
    <col min="775" max="775" width="65.140625" style="274" customWidth="1"/>
    <col min="776" max="776" width="63.85546875" style="274" customWidth="1"/>
    <col min="777" max="1024" width="9.140625" style="274"/>
    <col min="1025" max="1025" width="0.5703125" style="274" customWidth="1"/>
    <col min="1026" max="1026" width="125.42578125" style="274" customWidth="1"/>
    <col min="1027" max="1027" width="112.7109375" style="274" customWidth="1"/>
    <col min="1028" max="1028" width="195.85546875" style="274" customWidth="1"/>
    <col min="1029" max="1029" width="148.140625" style="274" customWidth="1"/>
    <col min="1030" max="1030" width="39.140625" style="274" customWidth="1"/>
    <col min="1031" max="1031" width="65.140625" style="274" customWidth="1"/>
    <col min="1032" max="1032" width="63.85546875" style="274" customWidth="1"/>
    <col min="1033" max="1280" width="9.140625" style="274"/>
    <col min="1281" max="1281" width="0.5703125" style="274" customWidth="1"/>
    <col min="1282" max="1282" width="125.42578125" style="274" customWidth="1"/>
    <col min="1283" max="1283" width="112.7109375" style="274" customWidth="1"/>
    <col min="1284" max="1284" width="195.85546875" style="274" customWidth="1"/>
    <col min="1285" max="1285" width="148.140625" style="274" customWidth="1"/>
    <col min="1286" max="1286" width="39.140625" style="274" customWidth="1"/>
    <col min="1287" max="1287" width="65.140625" style="274" customWidth="1"/>
    <col min="1288" max="1288" width="63.85546875" style="274" customWidth="1"/>
    <col min="1289" max="1536" width="9.140625" style="274"/>
    <col min="1537" max="1537" width="0.5703125" style="274" customWidth="1"/>
    <col min="1538" max="1538" width="125.42578125" style="274" customWidth="1"/>
    <col min="1539" max="1539" width="112.7109375" style="274" customWidth="1"/>
    <col min="1540" max="1540" width="195.85546875" style="274" customWidth="1"/>
    <col min="1541" max="1541" width="148.140625" style="274" customWidth="1"/>
    <col min="1542" max="1542" width="39.140625" style="274" customWidth="1"/>
    <col min="1543" max="1543" width="65.140625" style="274" customWidth="1"/>
    <col min="1544" max="1544" width="63.85546875" style="274" customWidth="1"/>
    <col min="1545" max="1792" width="9.140625" style="274"/>
    <col min="1793" max="1793" width="0.5703125" style="274" customWidth="1"/>
    <col min="1794" max="1794" width="125.42578125" style="274" customWidth="1"/>
    <col min="1795" max="1795" width="112.7109375" style="274" customWidth="1"/>
    <col min="1796" max="1796" width="195.85546875" style="274" customWidth="1"/>
    <col min="1797" max="1797" width="148.140625" style="274" customWidth="1"/>
    <col min="1798" max="1798" width="39.140625" style="274" customWidth="1"/>
    <col min="1799" max="1799" width="65.140625" style="274" customWidth="1"/>
    <col min="1800" max="1800" width="63.85546875" style="274" customWidth="1"/>
    <col min="1801" max="2048" width="9.140625" style="274"/>
    <col min="2049" max="2049" width="0.5703125" style="274" customWidth="1"/>
    <col min="2050" max="2050" width="125.42578125" style="274" customWidth="1"/>
    <col min="2051" max="2051" width="112.7109375" style="274" customWidth="1"/>
    <col min="2052" max="2052" width="195.85546875" style="274" customWidth="1"/>
    <col min="2053" max="2053" width="148.140625" style="274" customWidth="1"/>
    <col min="2054" max="2054" width="39.140625" style="274" customWidth="1"/>
    <col min="2055" max="2055" width="65.140625" style="274" customWidth="1"/>
    <col min="2056" max="2056" width="63.85546875" style="274" customWidth="1"/>
    <col min="2057" max="2304" width="9.140625" style="274"/>
    <col min="2305" max="2305" width="0.5703125" style="274" customWidth="1"/>
    <col min="2306" max="2306" width="125.42578125" style="274" customWidth="1"/>
    <col min="2307" max="2307" width="112.7109375" style="274" customWidth="1"/>
    <col min="2308" max="2308" width="195.85546875" style="274" customWidth="1"/>
    <col min="2309" max="2309" width="148.140625" style="274" customWidth="1"/>
    <col min="2310" max="2310" width="39.140625" style="274" customWidth="1"/>
    <col min="2311" max="2311" width="65.140625" style="274" customWidth="1"/>
    <col min="2312" max="2312" width="63.85546875" style="274" customWidth="1"/>
    <col min="2313" max="2560" width="9.140625" style="274"/>
    <col min="2561" max="2561" width="0.5703125" style="274" customWidth="1"/>
    <col min="2562" max="2562" width="125.42578125" style="274" customWidth="1"/>
    <col min="2563" max="2563" width="112.7109375" style="274" customWidth="1"/>
    <col min="2564" max="2564" width="195.85546875" style="274" customWidth="1"/>
    <col min="2565" max="2565" width="148.140625" style="274" customWidth="1"/>
    <col min="2566" max="2566" width="39.140625" style="274" customWidth="1"/>
    <col min="2567" max="2567" width="65.140625" style="274" customWidth="1"/>
    <col min="2568" max="2568" width="63.85546875" style="274" customWidth="1"/>
    <col min="2569" max="2816" width="9.140625" style="274"/>
    <col min="2817" max="2817" width="0.5703125" style="274" customWidth="1"/>
    <col min="2818" max="2818" width="125.42578125" style="274" customWidth="1"/>
    <col min="2819" max="2819" width="112.7109375" style="274" customWidth="1"/>
    <col min="2820" max="2820" width="195.85546875" style="274" customWidth="1"/>
    <col min="2821" max="2821" width="148.140625" style="274" customWidth="1"/>
    <col min="2822" max="2822" width="39.140625" style="274" customWidth="1"/>
    <col min="2823" max="2823" width="65.140625" style="274" customWidth="1"/>
    <col min="2824" max="2824" width="63.85546875" style="274" customWidth="1"/>
    <col min="2825" max="3072" width="9.140625" style="274"/>
    <col min="3073" max="3073" width="0.5703125" style="274" customWidth="1"/>
    <col min="3074" max="3074" width="125.42578125" style="274" customWidth="1"/>
    <col min="3075" max="3075" width="112.7109375" style="274" customWidth="1"/>
    <col min="3076" max="3076" width="195.85546875" style="274" customWidth="1"/>
    <col min="3077" max="3077" width="148.140625" style="274" customWidth="1"/>
    <col min="3078" max="3078" width="39.140625" style="274" customWidth="1"/>
    <col min="3079" max="3079" width="65.140625" style="274" customWidth="1"/>
    <col min="3080" max="3080" width="63.85546875" style="274" customWidth="1"/>
    <col min="3081" max="3328" width="9.140625" style="274"/>
    <col min="3329" max="3329" width="0.5703125" style="274" customWidth="1"/>
    <col min="3330" max="3330" width="125.42578125" style="274" customWidth="1"/>
    <col min="3331" max="3331" width="112.7109375" style="274" customWidth="1"/>
    <col min="3332" max="3332" width="195.85546875" style="274" customWidth="1"/>
    <col min="3333" max="3333" width="148.140625" style="274" customWidth="1"/>
    <col min="3334" max="3334" width="39.140625" style="274" customWidth="1"/>
    <col min="3335" max="3335" width="65.140625" style="274" customWidth="1"/>
    <col min="3336" max="3336" width="63.85546875" style="274" customWidth="1"/>
    <col min="3337" max="3584" width="9.140625" style="274"/>
    <col min="3585" max="3585" width="0.5703125" style="274" customWidth="1"/>
    <col min="3586" max="3586" width="125.42578125" style="274" customWidth="1"/>
    <col min="3587" max="3587" width="112.7109375" style="274" customWidth="1"/>
    <col min="3588" max="3588" width="195.85546875" style="274" customWidth="1"/>
    <col min="3589" max="3589" width="148.140625" style="274" customWidth="1"/>
    <col min="3590" max="3590" width="39.140625" style="274" customWidth="1"/>
    <col min="3591" max="3591" width="65.140625" style="274" customWidth="1"/>
    <col min="3592" max="3592" width="63.85546875" style="274" customWidth="1"/>
    <col min="3593" max="3840" width="9.140625" style="274"/>
    <col min="3841" max="3841" width="0.5703125" style="274" customWidth="1"/>
    <col min="3842" max="3842" width="125.42578125" style="274" customWidth="1"/>
    <col min="3843" max="3843" width="112.7109375" style="274" customWidth="1"/>
    <col min="3844" max="3844" width="195.85546875" style="274" customWidth="1"/>
    <col min="3845" max="3845" width="148.140625" style="274" customWidth="1"/>
    <col min="3846" max="3846" width="39.140625" style="274" customWidth="1"/>
    <col min="3847" max="3847" width="65.140625" style="274" customWidth="1"/>
    <col min="3848" max="3848" width="63.85546875" style="274" customWidth="1"/>
    <col min="3849" max="4096" width="9.140625" style="274"/>
    <col min="4097" max="4097" width="0.5703125" style="274" customWidth="1"/>
    <col min="4098" max="4098" width="125.42578125" style="274" customWidth="1"/>
    <col min="4099" max="4099" width="112.7109375" style="274" customWidth="1"/>
    <col min="4100" max="4100" width="195.85546875" style="274" customWidth="1"/>
    <col min="4101" max="4101" width="148.140625" style="274" customWidth="1"/>
    <col min="4102" max="4102" width="39.140625" style="274" customWidth="1"/>
    <col min="4103" max="4103" width="65.140625" style="274" customWidth="1"/>
    <col min="4104" max="4104" width="63.85546875" style="274" customWidth="1"/>
    <col min="4105" max="4352" width="9.140625" style="274"/>
    <col min="4353" max="4353" width="0.5703125" style="274" customWidth="1"/>
    <col min="4354" max="4354" width="125.42578125" style="274" customWidth="1"/>
    <col min="4355" max="4355" width="112.7109375" style="274" customWidth="1"/>
    <col min="4356" max="4356" width="195.85546875" style="274" customWidth="1"/>
    <col min="4357" max="4357" width="148.140625" style="274" customWidth="1"/>
    <col min="4358" max="4358" width="39.140625" style="274" customWidth="1"/>
    <col min="4359" max="4359" width="65.140625" style="274" customWidth="1"/>
    <col min="4360" max="4360" width="63.85546875" style="274" customWidth="1"/>
    <col min="4361" max="4608" width="9.140625" style="274"/>
    <col min="4609" max="4609" width="0.5703125" style="274" customWidth="1"/>
    <col min="4610" max="4610" width="125.42578125" style="274" customWidth="1"/>
    <col min="4611" max="4611" width="112.7109375" style="274" customWidth="1"/>
    <col min="4612" max="4612" width="195.85546875" style="274" customWidth="1"/>
    <col min="4613" max="4613" width="148.140625" style="274" customWidth="1"/>
    <col min="4614" max="4614" width="39.140625" style="274" customWidth="1"/>
    <col min="4615" max="4615" width="65.140625" style="274" customWidth="1"/>
    <col min="4616" max="4616" width="63.85546875" style="274" customWidth="1"/>
    <col min="4617" max="4864" width="9.140625" style="274"/>
    <col min="4865" max="4865" width="0.5703125" style="274" customWidth="1"/>
    <col min="4866" max="4866" width="125.42578125" style="274" customWidth="1"/>
    <col min="4867" max="4867" width="112.7109375" style="274" customWidth="1"/>
    <col min="4868" max="4868" width="195.85546875" style="274" customWidth="1"/>
    <col min="4869" max="4869" width="148.140625" style="274" customWidth="1"/>
    <col min="4870" max="4870" width="39.140625" style="274" customWidth="1"/>
    <col min="4871" max="4871" width="65.140625" style="274" customWidth="1"/>
    <col min="4872" max="4872" width="63.85546875" style="274" customWidth="1"/>
    <col min="4873" max="5120" width="9.140625" style="274"/>
    <col min="5121" max="5121" width="0.5703125" style="274" customWidth="1"/>
    <col min="5122" max="5122" width="125.42578125" style="274" customWidth="1"/>
    <col min="5123" max="5123" width="112.7109375" style="274" customWidth="1"/>
    <col min="5124" max="5124" width="195.85546875" style="274" customWidth="1"/>
    <col min="5125" max="5125" width="148.140625" style="274" customWidth="1"/>
    <col min="5126" max="5126" width="39.140625" style="274" customWidth="1"/>
    <col min="5127" max="5127" width="65.140625" style="274" customWidth="1"/>
    <col min="5128" max="5128" width="63.85546875" style="274" customWidth="1"/>
    <col min="5129" max="5376" width="9.140625" style="274"/>
    <col min="5377" max="5377" width="0.5703125" style="274" customWidth="1"/>
    <col min="5378" max="5378" width="125.42578125" style="274" customWidth="1"/>
    <col min="5379" max="5379" width="112.7109375" style="274" customWidth="1"/>
    <col min="5380" max="5380" width="195.85546875" style="274" customWidth="1"/>
    <col min="5381" max="5381" width="148.140625" style="274" customWidth="1"/>
    <col min="5382" max="5382" width="39.140625" style="274" customWidth="1"/>
    <col min="5383" max="5383" width="65.140625" style="274" customWidth="1"/>
    <col min="5384" max="5384" width="63.85546875" style="274" customWidth="1"/>
    <col min="5385" max="5632" width="9.140625" style="274"/>
    <col min="5633" max="5633" width="0.5703125" style="274" customWidth="1"/>
    <col min="5634" max="5634" width="125.42578125" style="274" customWidth="1"/>
    <col min="5635" max="5635" width="112.7109375" style="274" customWidth="1"/>
    <col min="5636" max="5636" width="195.85546875" style="274" customWidth="1"/>
    <col min="5637" max="5637" width="148.140625" style="274" customWidth="1"/>
    <col min="5638" max="5638" width="39.140625" style="274" customWidth="1"/>
    <col min="5639" max="5639" width="65.140625" style="274" customWidth="1"/>
    <col min="5640" max="5640" width="63.85546875" style="274" customWidth="1"/>
    <col min="5641" max="5888" width="9.140625" style="274"/>
    <col min="5889" max="5889" width="0.5703125" style="274" customWidth="1"/>
    <col min="5890" max="5890" width="125.42578125" style="274" customWidth="1"/>
    <col min="5891" max="5891" width="112.7109375" style="274" customWidth="1"/>
    <col min="5892" max="5892" width="195.85546875" style="274" customWidth="1"/>
    <col min="5893" max="5893" width="148.140625" style="274" customWidth="1"/>
    <col min="5894" max="5894" width="39.140625" style="274" customWidth="1"/>
    <col min="5895" max="5895" width="65.140625" style="274" customWidth="1"/>
    <col min="5896" max="5896" width="63.85546875" style="274" customWidth="1"/>
    <col min="5897" max="6144" width="9.140625" style="274"/>
    <col min="6145" max="6145" width="0.5703125" style="274" customWidth="1"/>
    <col min="6146" max="6146" width="125.42578125" style="274" customWidth="1"/>
    <col min="6147" max="6147" width="112.7109375" style="274" customWidth="1"/>
    <col min="6148" max="6148" width="195.85546875" style="274" customWidth="1"/>
    <col min="6149" max="6149" width="148.140625" style="274" customWidth="1"/>
    <col min="6150" max="6150" width="39.140625" style="274" customWidth="1"/>
    <col min="6151" max="6151" width="65.140625" style="274" customWidth="1"/>
    <col min="6152" max="6152" width="63.85546875" style="274" customWidth="1"/>
    <col min="6153" max="6400" width="9.140625" style="274"/>
    <col min="6401" max="6401" width="0.5703125" style="274" customWidth="1"/>
    <col min="6402" max="6402" width="125.42578125" style="274" customWidth="1"/>
    <col min="6403" max="6403" width="112.7109375" style="274" customWidth="1"/>
    <col min="6404" max="6404" width="195.85546875" style="274" customWidth="1"/>
    <col min="6405" max="6405" width="148.140625" style="274" customWidth="1"/>
    <col min="6406" max="6406" width="39.140625" style="274" customWidth="1"/>
    <col min="6407" max="6407" width="65.140625" style="274" customWidth="1"/>
    <col min="6408" max="6408" width="63.85546875" style="274" customWidth="1"/>
    <col min="6409" max="6656" width="9.140625" style="274"/>
    <col min="6657" max="6657" width="0.5703125" style="274" customWidth="1"/>
    <col min="6658" max="6658" width="125.42578125" style="274" customWidth="1"/>
    <col min="6659" max="6659" width="112.7109375" style="274" customWidth="1"/>
    <col min="6660" max="6660" width="195.85546875" style="274" customWidth="1"/>
    <col min="6661" max="6661" width="148.140625" style="274" customWidth="1"/>
    <col min="6662" max="6662" width="39.140625" style="274" customWidth="1"/>
    <col min="6663" max="6663" width="65.140625" style="274" customWidth="1"/>
    <col min="6664" max="6664" width="63.85546875" style="274" customWidth="1"/>
    <col min="6665" max="6912" width="9.140625" style="274"/>
    <col min="6913" max="6913" width="0.5703125" style="274" customWidth="1"/>
    <col min="6914" max="6914" width="125.42578125" style="274" customWidth="1"/>
    <col min="6915" max="6915" width="112.7109375" style="274" customWidth="1"/>
    <col min="6916" max="6916" width="195.85546875" style="274" customWidth="1"/>
    <col min="6917" max="6917" width="148.140625" style="274" customWidth="1"/>
    <col min="6918" max="6918" width="39.140625" style="274" customWidth="1"/>
    <col min="6919" max="6919" width="65.140625" style="274" customWidth="1"/>
    <col min="6920" max="6920" width="63.85546875" style="274" customWidth="1"/>
    <col min="6921" max="7168" width="9.140625" style="274"/>
    <col min="7169" max="7169" width="0.5703125" style="274" customWidth="1"/>
    <col min="7170" max="7170" width="125.42578125" style="274" customWidth="1"/>
    <col min="7171" max="7171" width="112.7109375" style="274" customWidth="1"/>
    <col min="7172" max="7172" width="195.85546875" style="274" customWidth="1"/>
    <col min="7173" max="7173" width="148.140625" style="274" customWidth="1"/>
    <col min="7174" max="7174" width="39.140625" style="274" customWidth="1"/>
    <col min="7175" max="7175" width="65.140625" style="274" customWidth="1"/>
    <col min="7176" max="7176" width="63.85546875" style="274" customWidth="1"/>
    <col min="7177" max="7424" width="9.140625" style="274"/>
    <col min="7425" max="7425" width="0.5703125" style="274" customWidth="1"/>
    <col min="7426" max="7426" width="125.42578125" style="274" customWidth="1"/>
    <col min="7427" max="7427" width="112.7109375" style="274" customWidth="1"/>
    <col min="7428" max="7428" width="195.85546875" style="274" customWidth="1"/>
    <col min="7429" max="7429" width="148.140625" style="274" customWidth="1"/>
    <col min="7430" max="7430" width="39.140625" style="274" customWidth="1"/>
    <col min="7431" max="7431" width="65.140625" style="274" customWidth="1"/>
    <col min="7432" max="7432" width="63.85546875" style="274" customWidth="1"/>
    <col min="7433" max="7680" width="9.140625" style="274"/>
    <col min="7681" max="7681" width="0.5703125" style="274" customWidth="1"/>
    <col min="7682" max="7682" width="125.42578125" style="274" customWidth="1"/>
    <col min="7683" max="7683" width="112.7109375" style="274" customWidth="1"/>
    <col min="7684" max="7684" width="195.85546875" style="274" customWidth="1"/>
    <col min="7685" max="7685" width="148.140625" style="274" customWidth="1"/>
    <col min="7686" max="7686" width="39.140625" style="274" customWidth="1"/>
    <col min="7687" max="7687" width="65.140625" style="274" customWidth="1"/>
    <col min="7688" max="7688" width="63.85546875" style="274" customWidth="1"/>
    <col min="7689" max="7936" width="9.140625" style="274"/>
    <col min="7937" max="7937" width="0.5703125" style="274" customWidth="1"/>
    <col min="7938" max="7938" width="125.42578125" style="274" customWidth="1"/>
    <col min="7939" max="7939" width="112.7109375" style="274" customWidth="1"/>
    <col min="7940" max="7940" width="195.85546875" style="274" customWidth="1"/>
    <col min="7941" max="7941" width="148.140625" style="274" customWidth="1"/>
    <col min="7942" max="7942" width="39.140625" style="274" customWidth="1"/>
    <col min="7943" max="7943" width="65.140625" style="274" customWidth="1"/>
    <col min="7944" max="7944" width="63.85546875" style="274" customWidth="1"/>
    <col min="7945" max="8192" width="9.140625" style="274"/>
    <col min="8193" max="8193" width="0.5703125" style="274" customWidth="1"/>
    <col min="8194" max="8194" width="125.42578125" style="274" customWidth="1"/>
    <col min="8195" max="8195" width="112.7109375" style="274" customWidth="1"/>
    <col min="8196" max="8196" width="195.85546875" style="274" customWidth="1"/>
    <col min="8197" max="8197" width="148.140625" style="274" customWidth="1"/>
    <col min="8198" max="8198" width="39.140625" style="274" customWidth="1"/>
    <col min="8199" max="8199" width="65.140625" style="274" customWidth="1"/>
    <col min="8200" max="8200" width="63.85546875" style="274" customWidth="1"/>
    <col min="8201" max="8448" width="9.140625" style="274"/>
    <col min="8449" max="8449" width="0.5703125" style="274" customWidth="1"/>
    <col min="8450" max="8450" width="125.42578125" style="274" customWidth="1"/>
    <col min="8451" max="8451" width="112.7109375" style="274" customWidth="1"/>
    <col min="8452" max="8452" width="195.85546875" style="274" customWidth="1"/>
    <col min="8453" max="8453" width="148.140625" style="274" customWidth="1"/>
    <col min="8454" max="8454" width="39.140625" style="274" customWidth="1"/>
    <col min="8455" max="8455" width="65.140625" style="274" customWidth="1"/>
    <col min="8456" max="8456" width="63.85546875" style="274" customWidth="1"/>
    <col min="8457" max="8704" width="9.140625" style="274"/>
    <col min="8705" max="8705" width="0.5703125" style="274" customWidth="1"/>
    <col min="8706" max="8706" width="125.42578125" style="274" customWidth="1"/>
    <col min="8707" max="8707" width="112.7109375" style="274" customWidth="1"/>
    <col min="8708" max="8708" width="195.85546875" style="274" customWidth="1"/>
    <col min="8709" max="8709" width="148.140625" style="274" customWidth="1"/>
    <col min="8710" max="8710" width="39.140625" style="274" customWidth="1"/>
    <col min="8711" max="8711" width="65.140625" style="274" customWidth="1"/>
    <col min="8712" max="8712" width="63.85546875" style="274" customWidth="1"/>
    <col min="8713" max="8960" width="9.140625" style="274"/>
    <col min="8961" max="8961" width="0.5703125" style="274" customWidth="1"/>
    <col min="8962" max="8962" width="125.42578125" style="274" customWidth="1"/>
    <col min="8963" max="8963" width="112.7109375" style="274" customWidth="1"/>
    <col min="8964" max="8964" width="195.85546875" style="274" customWidth="1"/>
    <col min="8965" max="8965" width="148.140625" style="274" customWidth="1"/>
    <col min="8966" max="8966" width="39.140625" style="274" customWidth="1"/>
    <col min="8967" max="8967" width="65.140625" style="274" customWidth="1"/>
    <col min="8968" max="8968" width="63.85546875" style="274" customWidth="1"/>
    <col min="8969" max="9216" width="9.140625" style="274"/>
    <col min="9217" max="9217" width="0.5703125" style="274" customWidth="1"/>
    <col min="9218" max="9218" width="125.42578125" style="274" customWidth="1"/>
    <col min="9219" max="9219" width="112.7109375" style="274" customWidth="1"/>
    <col min="9220" max="9220" width="195.85546875" style="274" customWidth="1"/>
    <col min="9221" max="9221" width="148.140625" style="274" customWidth="1"/>
    <col min="9222" max="9222" width="39.140625" style="274" customWidth="1"/>
    <col min="9223" max="9223" width="65.140625" style="274" customWidth="1"/>
    <col min="9224" max="9224" width="63.85546875" style="274" customWidth="1"/>
    <col min="9225" max="9472" width="9.140625" style="274"/>
    <col min="9473" max="9473" width="0.5703125" style="274" customWidth="1"/>
    <col min="9474" max="9474" width="125.42578125" style="274" customWidth="1"/>
    <col min="9475" max="9475" width="112.7109375" style="274" customWidth="1"/>
    <col min="9476" max="9476" width="195.85546875" style="274" customWidth="1"/>
    <col min="9477" max="9477" width="148.140625" style="274" customWidth="1"/>
    <col min="9478" max="9478" width="39.140625" style="274" customWidth="1"/>
    <col min="9479" max="9479" width="65.140625" style="274" customWidth="1"/>
    <col min="9480" max="9480" width="63.85546875" style="274" customWidth="1"/>
    <col min="9481" max="9728" width="9.140625" style="274"/>
    <col min="9729" max="9729" width="0.5703125" style="274" customWidth="1"/>
    <col min="9730" max="9730" width="125.42578125" style="274" customWidth="1"/>
    <col min="9731" max="9731" width="112.7109375" style="274" customWidth="1"/>
    <col min="9732" max="9732" width="195.85546875" style="274" customWidth="1"/>
    <col min="9733" max="9733" width="148.140625" style="274" customWidth="1"/>
    <col min="9734" max="9734" width="39.140625" style="274" customWidth="1"/>
    <col min="9735" max="9735" width="65.140625" style="274" customWidth="1"/>
    <col min="9736" max="9736" width="63.85546875" style="274" customWidth="1"/>
    <col min="9737" max="9984" width="9.140625" style="274"/>
    <col min="9985" max="9985" width="0.5703125" style="274" customWidth="1"/>
    <col min="9986" max="9986" width="125.42578125" style="274" customWidth="1"/>
    <col min="9987" max="9987" width="112.7109375" style="274" customWidth="1"/>
    <col min="9988" max="9988" width="195.85546875" style="274" customWidth="1"/>
    <col min="9989" max="9989" width="148.140625" style="274" customWidth="1"/>
    <col min="9990" max="9990" width="39.140625" style="274" customWidth="1"/>
    <col min="9991" max="9991" width="65.140625" style="274" customWidth="1"/>
    <col min="9992" max="9992" width="63.85546875" style="274" customWidth="1"/>
    <col min="9993" max="10240" width="9.140625" style="274"/>
    <col min="10241" max="10241" width="0.5703125" style="274" customWidth="1"/>
    <col min="10242" max="10242" width="125.42578125" style="274" customWidth="1"/>
    <col min="10243" max="10243" width="112.7109375" style="274" customWidth="1"/>
    <col min="10244" max="10244" width="195.85546875" style="274" customWidth="1"/>
    <col min="10245" max="10245" width="148.140625" style="274" customWidth="1"/>
    <col min="10246" max="10246" width="39.140625" style="274" customWidth="1"/>
    <col min="10247" max="10247" width="65.140625" style="274" customWidth="1"/>
    <col min="10248" max="10248" width="63.85546875" style="274" customWidth="1"/>
    <col min="10249" max="10496" width="9.140625" style="274"/>
    <col min="10497" max="10497" width="0.5703125" style="274" customWidth="1"/>
    <col min="10498" max="10498" width="125.42578125" style="274" customWidth="1"/>
    <col min="10499" max="10499" width="112.7109375" style="274" customWidth="1"/>
    <col min="10500" max="10500" width="195.85546875" style="274" customWidth="1"/>
    <col min="10501" max="10501" width="148.140625" style="274" customWidth="1"/>
    <col min="10502" max="10502" width="39.140625" style="274" customWidth="1"/>
    <col min="10503" max="10503" width="65.140625" style="274" customWidth="1"/>
    <col min="10504" max="10504" width="63.85546875" style="274" customWidth="1"/>
    <col min="10505" max="10752" width="9.140625" style="274"/>
    <col min="10753" max="10753" width="0.5703125" style="274" customWidth="1"/>
    <col min="10754" max="10754" width="125.42578125" style="274" customWidth="1"/>
    <col min="10755" max="10755" width="112.7109375" style="274" customWidth="1"/>
    <col min="10756" max="10756" width="195.85546875" style="274" customWidth="1"/>
    <col min="10757" max="10757" width="148.140625" style="274" customWidth="1"/>
    <col min="10758" max="10758" width="39.140625" style="274" customWidth="1"/>
    <col min="10759" max="10759" width="65.140625" style="274" customWidth="1"/>
    <col min="10760" max="10760" width="63.85546875" style="274" customWidth="1"/>
    <col min="10761" max="11008" width="9.140625" style="274"/>
    <col min="11009" max="11009" width="0.5703125" style="274" customWidth="1"/>
    <col min="11010" max="11010" width="125.42578125" style="274" customWidth="1"/>
    <col min="11011" max="11011" width="112.7109375" style="274" customWidth="1"/>
    <col min="11012" max="11012" width="195.85546875" style="274" customWidth="1"/>
    <col min="11013" max="11013" width="148.140625" style="274" customWidth="1"/>
    <col min="11014" max="11014" width="39.140625" style="274" customWidth="1"/>
    <col min="11015" max="11015" width="65.140625" style="274" customWidth="1"/>
    <col min="11016" max="11016" width="63.85546875" style="274" customWidth="1"/>
    <col min="11017" max="11264" width="9.140625" style="274"/>
    <col min="11265" max="11265" width="0.5703125" style="274" customWidth="1"/>
    <col min="11266" max="11266" width="125.42578125" style="274" customWidth="1"/>
    <col min="11267" max="11267" width="112.7109375" style="274" customWidth="1"/>
    <col min="11268" max="11268" width="195.85546875" style="274" customWidth="1"/>
    <col min="11269" max="11269" width="148.140625" style="274" customWidth="1"/>
    <col min="11270" max="11270" width="39.140625" style="274" customWidth="1"/>
    <col min="11271" max="11271" width="65.140625" style="274" customWidth="1"/>
    <col min="11272" max="11272" width="63.85546875" style="274" customWidth="1"/>
    <col min="11273" max="11520" width="9.140625" style="274"/>
    <col min="11521" max="11521" width="0.5703125" style="274" customWidth="1"/>
    <col min="11522" max="11522" width="125.42578125" style="274" customWidth="1"/>
    <col min="11523" max="11523" width="112.7109375" style="274" customWidth="1"/>
    <col min="11524" max="11524" width="195.85546875" style="274" customWidth="1"/>
    <col min="11525" max="11525" width="148.140625" style="274" customWidth="1"/>
    <col min="11526" max="11526" width="39.140625" style="274" customWidth="1"/>
    <col min="11527" max="11527" width="65.140625" style="274" customWidth="1"/>
    <col min="11528" max="11528" width="63.85546875" style="274" customWidth="1"/>
    <col min="11529" max="11776" width="9.140625" style="274"/>
    <col min="11777" max="11777" width="0.5703125" style="274" customWidth="1"/>
    <col min="11778" max="11778" width="125.42578125" style="274" customWidth="1"/>
    <col min="11779" max="11779" width="112.7109375" style="274" customWidth="1"/>
    <col min="11780" max="11780" width="195.85546875" style="274" customWidth="1"/>
    <col min="11781" max="11781" width="148.140625" style="274" customWidth="1"/>
    <col min="11782" max="11782" width="39.140625" style="274" customWidth="1"/>
    <col min="11783" max="11783" width="65.140625" style="274" customWidth="1"/>
    <col min="11784" max="11784" width="63.85546875" style="274" customWidth="1"/>
    <col min="11785" max="12032" width="9.140625" style="274"/>
    <col min="12033" max="12033" width="0.5703125" style="274" customWidth="1"/>
    <col min="12034" max="12034" width="125.42578125" style="274" customWidth="1"/>
    <col min="12035" max="12035" width="112.7109375" style="274" customWidth="1"/>
    <col min="12036" max="12036" width="195.85546875" style="274" customWidth="1"/>
    <col min="12037" max="12037" width="148.140625" style="274" customWidth="1"/>
    <col min="12038" max="12038" width="39.140625" style="274" customWidth="1"/>
    <col min="12039" max="12039" width="65.140625" style="274" customWidth="1"/>
    <col min="12040" max="12040" width="63.85546875" style="274" customWidth="1"/>
    <col min="12041" max="12288" width="9.140625" style="274"/>
    <col min="12289" max="12289" width="0.5703125" style="274" customWidth="1"/>
    <col min="12290" max="12290" width="125.42578125" style="274" customWidth="1"/>
    <col min="12291" max="12291" width="112.7109375" style="274" customWidth="1"/>
    <col min="12292" max="12292" width="195.85546875" style="274" customWidth="1"/>
    <col min="12293" max="12293" width="148.140625" style="274" customWidth="1"/>
    <col min="12294" max="12294" width="39.140625" style="274" customWidth="1"/>
    <col min="12295" max="12295" width="65.140625" style="274" customWidth="1"/>
    <col min="12296" max="12296" width="63.85546875" style="274" customWidth="1"/>
    <col min="12297" max="12544" width="9.140625" style="274"/>
    <col min="12545" max="12545" width="0.5703125" style="274" customWidth="1"/>
    <col min="12546" max="12546" width="125.42578125" style="274" customWidth="1"/>
    <col min="12547" max="12547" width="112.7109375" style="274" customWidth="1"/>
    <col min="12548" max="12548" width="195.85546875" style="274" customWidth="1"/>
    <col min="12549" max="12549" width="148.140625" style="274" customWidth="1"/>
    <col min="12550" max="12550" width="39.140625" style="274" customWidth="1"/>
    <col min="12551" max="12551" width="65.140625" style="274" customWidth="1"/>
    <col min="12552" max="12552" width="63.85546875" style="274" customWidth="1"/>
    <col min="12553" max="12800" width="9.140625" style="274"/>
    <col min="12801" max="12801" width="0.5703125" style="274" customWidth="1"/>
    <col min="12802" max="12802" width="125.42578125" style="274" customWidth="1"/>
    <col min="12803" max="12803" width="112.7109375" style="274" customWidth="1"/>
    <col min="12804" max="12804" width="195.85546875" style="274" customWidth="1"/>
    <col min="12805" max="12805" width="148.140625" style="274" customWidth="1"/>
    <col min="12806" max="12806" width="39.140625" style="274" customWidth="1"/>
    <col min="12807" max="12807" width="65.140625" style="274" customWidth="1"/>
    <col min="12808" max="12808" width="63.85546875" style="274" customWidth="1"/>
    <col min="12809" max="13056" width="9.140625" style="274"/>
    <col min="13057" max="13057" width="0.5703125" style="274" customWidth="1"/>
    <col min="13058" max="13058" width="125.42578125" style="274" customWidth="1"/>
    <col min="13059" max="13059" width="112.7109375" style="274" customWidth="1"/>
    <col min="13060" max="13060" width="195.85546875" style="274" customWidth="1"/>
    <col min="13061" max="13061" width="148.140625" style="274" customWidth="1"/>
    <col min="13062" max="13062" width="39.140625" style="274" customWidth="1"/>
    <col min="13063" max="13063" width="65.140625" style="274" customWidth="1"/>
    <col min="13064" max="13064" width="63.85546875" style="274" customWidth="1"/>
    <col min="13065" max="13312" width="9.140625" style="274"/>
    <col min="13313" max="13313" width="0.5703125" style="274" customWidth="1"/>
    <col min="13314" max="13314" width="125.42578125" style="274" customWidth="1"/>
    <col min="13315" max="13315" width="112.7109375" style="274" customWidth="1"/>
    <col min="13316" max="13316" width="195.85546875" style="274" customWidth="1"/>
    <col min="13317" max="13317" width="148.140625" style="274" customWidth="1"/>
    <col min="13318" max="13318" width="39.140625" style="274" customWidth="1"/>
    <col min="13319" max="13319" width="65.140625" style="274" customWidth="1"/>
    <col min="13320" max="13320" width="63.85546875" style="274" customWidth="1"/>
    <col min="13321" max="13568" width="9.140625" style="274"/>
    <col min="13569" max="13569" width="0.5703125" style="274" customWidth="1"/>
    <col min="13570" max="13570" width="125.42578125" style="274" customWidth="1"/>
    <col min="13571" max="13571" width="112.7109375" style="274" customWidth="1"/>
    <col min="13572" max="13572" width="195.85546875" style="274" customWidth="1"/>
    <col min="13573" max="13573" width="148.140625" style="274" customWidth="1"/>
    <col min="13574" max="13574" width="39.140625" style="274" customWidth="1"/>
    <col min="13575" max="13575" width="65.140625" style="274" customWidth="1"/>
    <col min="13576" max="13576" width="63.85546875" style="274" customWidth="1"/>
    <col min="13577" max="13824" width="9.140625" style="274"/>
    <col min="13825" max="13825" width="0.5703125" style="274" customWidth="1"/>
    <col min="13826" max="13826" width="125.42578125" style="274" customWidth="1"/>
    <col min="13827" max="13827" width="112.7109375" style="274" customWidth="1"/>
    <col min="13828" max="13828" width="195.85546875" style="274" customWidth="1"/>
    <col min="13829" max="13829" width="148.140625" style="274" customWidth="1"/>
    <col min="13830" max="13830" width="39.140625" style="274" customWidth="1"/>
    <col min="13831" max="13831" width="65.140625" style="274" customWidth="1"/>
    <col min="13832" max="13832" width="63.85546875" style="274" customWidth="1"/>
    <col min="13833" max="14080" width="9.140625" style="274"/>
    <col min="14081" max="14081" width="0.5703125" style="274" customWidth="1"/>
    <col min="14082" max="14082" width="125.42578125" style="274" customWidth="1"/>
    <col min="14083" max="14083" width="112.7109375" style="274" customWidth="1"/>
    <col min="14084" max="14084" width="195.85546875" style="274" customWidth="1"/>
    <col min="14085" max="14085" width="148.140625" style="274" customWidth="1"/>
    <col min="14086" max="14086" width="39.140625" style="274" customWidth="1"/>
    <col min="14087" max="14087" width="65.140625" style="274" customWidth="1"/>
    <col min="14088" max="14088" width="63.85546875" style="274" customWidth="1"/>
    <col min="14089" max="14336" width="9.140625" style="274"/>
    <col min="14337" max="14337" width="0.5703125" style="274" customWidth="1"/>
    <col min="14338" max="14338" width="125.42578125" style="274" customWidth="1"/>
    <col min="14339" max="14339" width="112.7109375" style="274" customWidth="1"/>
    <col min="14340" max="14340" width="195.85546875" style="274" customWidth="1"/>
    <col min="14341" max="14341" width="148.140625" style="274" customWidth="1"/>
    <col min="14342" max="14342" width="39.140625" style="274" customWidth="1"/>
    <col min="14343" max="14343" width="65.140625" style="274" customWidth="1"/>
    <col min="14344" max="14344" width="63.85546875" style="274" customWidth="1"/>
    <col min="14345" max="14592" width="9.140625" style="274"/>
    <col min="14593" max="14593" width="0.5703125" style="274" customWidth="1"/>
    <col min="14594" max="14594" width="125.42578125" style="274" customWidth="1"/>
    <col min="14595" max="14595" width="112.7109375" style="274" customWidth="1"/>
    <col min="14596" max="14596" width="195.85546875" style="274" customWidth="1"/>
    <col min="14597" max="14597" width="148.140625" style="274" customWidth="1"/>
    <col min="14598" max="14598" width="39.140625" style="274" customWidth="1"/>
    <col min="14599" max="14599" width="65.140625" style="274" customWidth="1"/>
    <col min="14600" max="14600" width="63.85546875" style="274" customWidth="1"/>
    <col min="14601" max="14848" width="9.140625" style="274"/>
    <col min="14849" max="14849" width="0.5703125" style="274" customWidth="1"/>
    <col min="14850" max="14850" width="125.42578125" style="274" customWidth="1"/>
    <col min="14851" max="14851" width="112.7109375" style="274" customWidth="1"/>
    <col min="14852" max="14852" width="195.85546875" style="274" customWidth="1"/>
    <col min="14853" max="14853" width="148.140625" style="274" customWidth="1"/>
    <col min="14854" max="14854" width="39.140625" style="274" customWidth="1"/>
    <col min="14855" max="14855" width="65.140625" style="274" customWidth="1"/>
    <col min="14856" max="14856" width="63.85546875" style="274" customWidth="1"/>
    <col min="14857" max="15104" width="9.140625" style="274"/>
    <col min="15105" max="15105" width="0.5703125" style="274" customWidth="1"/>
    <col min="15106" max="15106" width="125.42578125" style="274" customWidth="1"/>
    <col min="15107" max="15107" width="112.7109375" style="274" customWidth="1"/>
    <col min="15108" max="15108" width="195.85546875" style="274" customWidth="1"/>
    <col min="15109" max="15109" width="148.140625" style="274" customWidth="1"/>
    <col min="15110" max="15110" width="39.140625" style="274" customWidth="1"/>
    <col min="15111" max="15111" width="65.140625" style="274" customWidth="1"/>
    <col min="15112" max="15112" width="63.85546875" style="274" customWidth="1"/>
    <col min="15113" max="15360" width="9.140625" style="274"/>
    <col min="15361" max="15361" width="0.5703125" style="274" customWidth="1"/>
    <col min="15362" max="15362" width="125.42578125" style="274" customWidth="1"/>
    <col min="15363" max="15363" width="112.7109375" style="274" customWidth="1"/>
    <col min="15364" max="15364" width="195.85546875" style="274" customWidth="1"/>
    <col min="15365" max="15365" width="148.140625" style="274" customWidth="1"/>
    <col min="15366" max="15366" width="39.140625" style="274" customWidth="1"/>
    <col min="15367" max="15367" width="65.140625" style="274" customWidth="1"/>
    <col min="15368" max="15368" width="63.85546875" style="274" customWidth="1"/>
    <col min="15369" max="15616" width="9.140625" style="274"/>
    <col min="15617" max="15617" width="0.5703125" style="274" customWidth="1"/>
    <col min="15618" max="15618" width="125.42578125" style="274" customWidth="1"/>
    <col min="15619" max="15619" width="112.7109375" style="274" customWidth="1"/>
    <col min="15620" max="15620" width="195.85546875" style="274" customWidth="1"/>
    <col min="15621" max="15621" width="148.140625" style="274" customWidth="1"/>
    <col min="15622" max="15622" width="39.140625" style="274" customWidth="1"/>
    <col min="15623" max="15623" width="65.140625" style="274" customWidth="1"/>
    <col min="15624" max="15624" width="63.85546875" style="274" customWidth="1"/>
    <col min="15625" max="15872" width="9.140625" style="274"/>
    <col min="15873" max="15873" width="0.5703125" style="274" customWidth="1"/>
    <col min="15874" max="15874" width="125.42578125" style="274" customWidth="1"/>
    <col min="15875" max="15875" width="112.7109375" style="274" customWidth="1"/>
    <col min="15876" max="15876" width="195.85546875" style="274" customWidth="1"/>
    <col min="15877" max="15877" width="148.140625" style="274" customWidth="1"/>
    <col min="15878" max="15878" width="39.140625" style="274" customWidth="1"/>
    <col min="15879" max="15879" width="65.140625" style="274" customWidth="1"/>
    <col min="15880" max="15880" width="63.85546875" style="274" customWidth="1"/>
    <col min="15881" max="16128" width="9.140625" style="274"/>
    <col min="16129" max="16129" width="0.5703125" style="274" customWidth="1"/>
    <col min="16130" max="16130" width="125.42578125" style="274" customWidth="1"/>
    <col min="16131" max="16131" width="112.7109375" style="274" customWidth="1"/>
    <col min="16132" max="16132" width="195.85546875" style="274" customWidth="1"/>
    <col min="16133" max="16133" width="148.140625" style="274" customWidth="1"/>
    <col min="16134" max="16134" width="39.140625" style="274" customWidth="1"/>
    <col min="16135" max="16135" width="65.140625" style="274" customWidth="1"/>
    <col min="16136" max="16136" width="63.85546875" style="274" customWidth="1"/>
    <col min="16137" max="16384" width="9.140625" style="274"/>
  </cols>
  <sheetData>
    <row r="1" spans="1:11" ht="57.75" customHeight="1" x14ac:dyDescent="0.3">
      <c r="A1" s="3403"/>
      <c r="B1" s="3403"/>
      <c r="C1" s="3403"/>
      <c r="D1" s="3403"/>
      <c r="E1" s="3403"/>
      <c r="F1" s="3403"/>
      <c r="G1" s="3403"/>
      <c r="H1" s="3403"/>
      <c r="I1" s="276"/>
      <c r="J1" s="275"/>
      <c r="K1" s="275"/>
    </row>
    <row r="2" spans="1:11" ht="57.75" customHeight="1" x14ac:dyDescent="0.3">
      <c r="A2" s="3403"/>
      <c r="B2" s="3403"/>
      <c r="C2" s="3403"/>
      <c r="D2" s="3403"/>
      <c r="E2" s="3403"/>
      <c r="F2" s="3403"/>
      <c r="G2" s="3403"/>
      <c r="H2" s="3403"/>
      <c r="I2" s="276"/>
      <c r="J2" s="275"/>
      <c r="K2" s="275"/>
    </row>
    <row r="3" spans="1:11" ht="57.75" customHeight="1" x14ac:dyDescent="0.3">
      <c r="A3" s="3403"/>
      <c r="B3" s="3403"/>
      <c r="C3" s="3403"/>
      <c r="D3" s="3403"/>
      <c r="E3" s="3403"/>
      <c r="F3" s="3403"/>
      <c r="G3" s="3403"/>
      <c r="H3" s="3403"/>
      <c r="I3" s="276"/>
      <c r="J3" s="275"/>
      <c r="K3" s="275"/>
    </row>
    <row r="4" spans="1:11" ht="84" customHeight="1" x14ac:dyDescent="0.3">
      <c r="A4" s="3403"/>
      <c r="B4" s="3403"/>
      <c r="C4" s="3403"/>
      <c r="D4" s="3403"/>
      <c r="E4" s="3403"/>
      <c r="F4" s="3403"/>
      <c r="G4" s="3403"/>
      <c r="H4" s="3403"/>
      <c r="I4" s="276"/>
      <c r="J4" s="275"/>
      <c r="K4" s="275"/>
    </row>
    <row r="5" spans="1:11" ht="70.5" customHeight="1" thickBot="1" x14ac:dyDescent="0.35">
      <c r="A5" s="3404"/>
      <c r="B5" s="3404"/>
      <c r="C5" s="3404"/>
      <c r="D5" s="3404"/>
      <c r="E5" s="3404"/>
      <c r="F5" s="3404"/>
      <c r="G5" s="3404"/>
      <c r="H5" s="3404"/>
      <c r="I5" s="276"/>
      <c r="J5" s="275"/>
      <c r="K5" s="275"/>
    </row>
    <row r="6" spans="1:11" ht="72" customHeight="1" x14ac:dyDescent="0.3">
      <c r="B6" s="3405" t="s">
        <v>701</v>
      </c>
      <c r="C6" s="3405"/>
      <c r="D6" s="3405"/>
      <c r="E6" s="3405"/>
      <c r="F6" s="3405"/>
      <c r="G6" s="3405"/>
      <c r="H6" s="3405"/>
      <c r="I6" s="276"/>
      <c r="J6" s="275"/>
      <c r="K6" s="275"/>
    </row>
    <row r="7" spans="1:11" ht="48.75" x14ac:dyDescent="0.65">
      <c r="B7" s="277"/>
      <c r="C7" s="278"/>
      <c r="D7" s="279"/>
      <c r="F7" s="280"/>
      <c r="G7" s="281"/>
      <c r="H7" s="1167" t="s">
        <v>3143</v>
      </c>
      <c r="I7" s="276"/>
      <c r="J7" s="275"/>
      <c r="K7" s="275"/>
    </row>
    <row r="8" spans="1:11" ht="141.75" customHeight="1" x14ac:dyDescent="0.3">
      <c r="A8" s="283"/>
      <c r="B8" s="314" t="s">
        <v>702</v>
      </c>
      <c r="C8" s="314" t="s">
        <v>399</v>
      </c>
      <c r="D8" s="3406" t="s">
        <v>703</v>
      </c>
      <c r="E8" s="3407"/>
      <c r="F8" s="1168" t="s">
        <v>704</v>
      </c>
      <c r="G8" s="1205" t="s">
        <v>2003</v>
      </c>
      <c r="H8" s="1206" t="s">
        <v>2004</v>
      </c>
      <c r="I8" s="276"/>
      <c r="J8" s="275"/>
      <c r="K8" s="275"/>
    </row>
    <row r="9" spans="1:11" ht="202.5" customHeight="1" x14ac:dyDescent="0.55000000000000004">
      <c r="A9" s="284"/>
      <c r="B9" s="285"/>
      <c r="C9" s="1169" t="s">
        <v>705</v>
      </c>
      <c r="D9" s="1170" t="s">
        <v>1909</v>
      </c>
      <c r="E9" s="323" t="s">
        <v>1910</v>
      </c>
      <c r="F9" s="1171">
        <v>9.0299999999999994</v>
      </c>
      <c r="G9" s="2096">
        <f>ROUND(2156*(1-C51),2)</f>
        <v>2156</v>
      </c>
      <c r="H9" s="2096">
        <f>G9*1.1</f>
        <v>2371.6000000000004</v>
      </c>
      <c r="I9" s="276"/>
      <c r="J9" s="275"/>
      <c r="K9" s="275"/>
    </row>
    <row r="10" spans="1:11" ht="240.75" customHeight="1" x14ac:dyDescent="0.55000000000000004">
      <c r="A10" s="284"/>
      <c r="B10" s="285"/>
      <c r="C10" s="1169" t="s">
        <v>1911</v>
      </c>
      <c r="D10" s="322" t="s">
        <v>1912</v>
      </c>
      <c r="E10" s="323" t="s">
        <v>1913</v>
      </c>
      <c r="F10" s="1171">
        <v>9.6300000000000008</v>
      </c>
      <c r="G10" s="2096">
        <f>ROUND(2893*(1-C51),2)</f>
        <v>2893</v>
      </c>
      <c r="H10" s="2096">
        <f t="shared" ref="H10:H16" si="0">G10*1.1</f>
        <v>3182.3</v>
      </c>
      <c r="I10" s="276"/>
      <c r="J10" s="275"/>
      <c r="K10" s="275"/>
    </row>
    <row r="11" spans="1:11" ht="209.25" customHeight="1" x14ac:dyDescent="0.55000000000000004">
      <c r="A11" s="284"/>
      <c r="B11" s="285"/>
      <c r="C11" s="1169" t="s">
        <v>706</v>
      </c>
      <c r="D11" s="322" t="s">
        <v>1914</v>
      </c>
      <c r="E11" s="323" t="s">
        <v>1915</v>
      </c>
      <c r="F11" s="1171">
        <v>3.54</v>
      </c>
      <c r="G11" s="2096">
        <f>ROUND(914*(1-C51),2)</f>
        <v>914</v>
      </c>
      <c r="H11" s="2096">
        <f t="shared" si="0"/>
        <v>1005.4000000000001</v>
      </c>
      <c r="I11" s="276"/>
      <c r="J11" s="275"/>
      <c r="K11" s="275"/>
    </row>
    <row r="12" spans="1:11" ht="204.75" customHeight="1" x14ac:dyDescent="0.55000000000000004">
      <c r="A12" s="284"/>
      <c r="B12" s="285"/>
      <c r="C12" s="1169" t="s">
        <v>1916</v>
      </c>
      <c r="D12" s="322" t="s">
        <v>1917</v>
      </c>
      <c r="E12" s="323" t="s">
        <v>1918</v>
      </c>
      <c r="F12" s="1171">
        <v>3.84</v>
      </c>
      <c r="G12" s="2096">
        <f>ROUND(1370*(1-C51),2)</f>
        <v>1370</v>
      </c>
      <c r="H12" s="2096">
        <f t="shared" si="0"/>
        <v>1507.0000000000002</v>
      </c>
      <c r="I12" s="276"/>
      <c r="J12" s="275"/>
      <c r="K12" s="275"/>
    </row>
    <row r="13" spans="1:11" ht="192.75" customHeight="1" x14ac:dyDescent="0.55000000000000004">
      <c r="A13" s="284"/>
      <c r="B13" s="902"/>
      <c r="C13" s="1172" t="s">
        <v>707</v>
      </c>
      <c r="D13" s="1173" t="s">
        <v>1919</v>
      </c>
      <c r="E13" s="1174" t="s">
        <v>1920</v>
      </c>
      <c r="F13" s="1175">
        <v>0.81</v>
      </c>
      <c r="G13" s="2123">
        <f>ROUND(242*(1-C51),2)</f>
        <v>242</v>
      </c>
      <c r="H13" s="2096">
        <f t="shared" si="0"/>
        <v>266.20000000000005</v>
      </c>
      <c r="I13" s="276"/>
      <c r="J13" s="275"/>
      <c r="K13" s="275"/>
    </row>
    <row r="14" spans="1:11" ht="186" customHeight="1" x14ac:dyDescent="0.55000000000000004">
      <c r="A14" s="284"/>
      <c r="B14" s="903"/>
      <c r="C14" s="1172" t="s">
        <v>1921</v>
      </c>
      <c r="D14" s="1173" t="s">
        <v>1922</v>
      </c>
      <c r="E14" s="1174" t="s">
        <v>1923</v>
      </c>
      <c r="F14" s="1175">
        <v>0.96</v>
      </c>
      <c r="G14" s="2123">
        <f>ROUND(440*(1-C51),2)</f>
        <v>440</v>
      </c>
      <c r="H14" s="2096">
        <f t="shared" si="0"/>
        <v>484.00000000000006</v>
      </c>
      <c r="I14" s="276"/>
      <c r="J14" s="275"/>
      <c r="K14" s="275"/>
    </row>
    <row r="15" spans="1:11" s="287" customFormat="1" ht="181.5" customHeight="1" x14ac:dyDescent="0.55000000000000004">
      <c r="A15" s="286"/>
      <c r="B15" s="903"/>
      <c r="C15" s="1172" t="s">
        <v>708</v>
      </c>
      <c r="D15" s="1173" t="s">
        <v>1924</v>
      </c>
      <c r="E15" s="1174" t="s">
        <v>1925</v>
      </c>
      <c r="F15" s="1175">
        <v>0.45</v>
      </c>
      <c r="G15" s="2123">
        <f>ROUND(660*(1-C51),2)</f>
        <v>660</v>
      </c>
      <c r="H15" s="2096">
        <f t="shared" si="0"/>
        <v>726.00000000000011</v>
      </c>
    </row>
    <row r="16" spans="1:11" ht="170.25" customHeight="1" x14ac:dyDescent="0.45">
      <c r="A16" s="284"/>
      <c r="B16" s="286"/>
      <c r="C16" s="1169" t="s">
        <v>709</v>
      </c>
      <c r="D16" s="2126" t="s">
        <v>1926</v>
      </c>
      <c r="E16" s="2127" t="s">
        <v>1927</v>
      </c>
      <c r="F16" s="1176">
        <v>0.15</v>
      </c>
      <c r="G16" s="2123">
        <f>ROUND(198*(1-C51),2)</f>
        <v>198</v>
      </c>
      <c r="H16" s="2096">
        <f t="shared" si="0"/>
        <v>217.8</v>
      </c>
      <c r="I16" s="276"/>
      <c r="J16" s="275"/>
      <c r="K16" s="275"/>
    </row>
    <row r="17" spans="1:12" ht="248.25" customHeight="1" x14ac:dyDescent="0.55000000000000004">
      <c r="A17" s="284"/>
      <c r="B17" s="288"/>
      <c r="C17" s="1169" t="s">
        <v>2411</v>
      </c>
      <c r="D17" s="322" t="s">
        <v>1928</v>
      </c>
      <c r="E17" s="323" t="s">
        <v>1929</v>
      </c>
      <c r="F17" s="1171">
        <v>19</v>
      </c>
      <c r="G17" s="3408">
        <f>ROUND(8030*(1-C51),2)</f>
        <v>8030</v>
      </c>
      <c r="H17" s="3409"/>
      <c r="I17" s="276"/>
      <c r="J17" s="275"/>
      <c r="K17" s="275"/>
    </row>
    <row r="18" spans="1:12" ht="244.5" customHeight="1" x14ac:dyDescent="0.55000000000000004">
      <c r="A18" s="284"/>
      <c r="B18" s="289"/>
      <c r="C18" s="1169" t="s">
        <v>2412</v>
      </c>
      <c r="D18" s="322" t="s">
        <v>1930</v>
      </c>
      <c r="E18" s="323" t="s">
        <v>1931</v>
      </c>
      <c r="F18" s="1171">
        <v>8</v>
      </c>
      <c r="G18" s="3408">
        <f>ROUND(4290*(1-C51),2)</f>
        <v>4290</v>
      </c>
      <c r="H18" s="3409"/>
      <c r="I18" s="276"/>
      <c r="J18" s="275"/>
      <c r="K18" s="275"/>
    </row>
    <row r="19" spans="1:12" ht="252" customHeight="1" x14ac:dyDescent="0.3">
      <c r="A19" s="284"/>
      <c r="B19" s="3397"/>
      <c r="C19" s="1177" t="s">
        <v>2413</v>
      </c>
      <c r="D19" s="1178" t="s">
        <v>3080</v>
      </c>
      <c r="E19" s="1179" t="s">
        <v>3079</v>
      </c>
      <c r="F19" s="1180">
        <v>20.350000000000001</v>
      </c>
      <c r="G19" s="3408">
        <f>ROUND(10208*(1-C51),2)</f>
        <v>10208</v>
      </c>
      <c r="H19" s="3409"/>
      <c r="I19" s="276"/>
      <c r="J19" s="275"/>
      <c r="K19" s="275"/>
    </row>
    <row r="20" spans="1:12" ht="253.5" customHeight="1" x14ac:dyDescent="0.3">
      <c r="A20" s="284"/>
      <c r="B20" s="3398"/>
      <c r="C20" s="1177" t="s">
        <v>2414</v>
      </c>
      <c r="D20" s="1178" t="s">
        <v>3082</v>
      </c>
      <c r="E20" s="1179" t="s">
        <v>3081</v>
      </c>
      <c r="F20" s="1180">
        <v>8.9</v>
      </c>
      <c r="G20" s="3408">
        <f>ROUND(5610*(1-C51),2)</f>
        <v>5610</v>
      </c>
      <c r="H20" s="3409"/>
      <c r="I20" s="276"/>
      <c r="J20" s="275"/>
      <c r="K20" s="275"/>
    </row>
    <row r="21" spans="1:12" ht="172.5" customHeight="1" x14ac:dyDescent="0.3">
      <c r="A21" s="284"/>
      <c r="B21" s="3397"/>
      <c r="C21" s="1169" t="s">
        <v>2415</v>
      </c>
      <c r="D21" s="3401" t="s">
        <v>1932</v>
      </c>
      <c r="E21" s="3402"/>
      <c r="F21" s="1171">
        <v>13.7</v>
      </c>
      <c r="G21" s="3400">
        <f>ROUND(6478*(1-C51),2)</f>
        <v>6478</v>
      </c>
      <c r="H21" s="3400"/>
      <c r="I21" s="276"/>
      <c r="J21" s="275"/>
      <c r="K21" s="275"/>
    </row>
    <row r="22" spans="1:12" ht="180.75" customHeight="1" x14ac:dyDescent="0.3">
      <c r="A22" s="284"/>
      <c r="B22" s="3399"/>
      <c r="C22" s="1181" t="s">
        <v>2416</v>
      </c>
      <c r="D22" s="3401" t="s">
        <v>1933</v>
      </c>
      <c r="E22" s="3402"/>
      <c r="F22" s="1182">
        <v>4.57</v>
      </c>
      <c r="G22" s="3400">
        <f>ROUND(3256*(1-C51),2)</f>
        <v>3256</v>
      </c>
      <c r="H22" s="3400"/>
      <c r="I22" s="276"/>
      <c r="J22" s="275"/>
      <c r="K22" s="275"/>
    </row>
    <row r="23" spans="1:12" ht="199.5" customHeight="1" x14ac:dyDescent="0.55000000000000004">
      <c r="A23" s="284"/>
      <c r="B23" s="1183"/>
      <c r="C23" s="1177" t="s">
        <v>2417</v>
      </c>
      <c r="D23" s="322" t="s">
        <v>1934</v>
      </c>
      <c r="E23" s="323" t="s">
        <v>1935</v>
      </c>
      <c r="F23" s="1180">
        <v>5.3</v>
      </c>
      <c r="G23" s="3400">
        <f>ROUND(518*(1-C51),2)</f>
        <v>518</v>
      </c>
      <c r="H23" s="3400"/>
      <c r="I23" s="276"/>
      <c r="J23" s="275"/>
      <c r="K23" s="275"/>
    </row>
    <row r="24" spans="1:12" ht="204" customHeight="1" x14ac:dyDescent="0.55000000000000004">
      <c r="A24" s="284"/>
      <c r="B24" s="2122"/>
      <c r="C24" s="1177" t="s">
        <v>2418</v>
      </c>
      <c r="D24" s="1178" t="s">
        <v>1936</v>
      </c>
      <c r="E24" s="1179" t="s">
        <v>1937</v>
      </c>
      <c r="F24" s="1180">
        <v>5.75</v>
      </c>
      <c r="G24" s="3400">
        <f>ROUND(1178*(1-C51),2)</f>
        <v>1178</v>
      </c>
      <c r="H24" s="3400"/>
      <c r="I24" s="276"/>
      <c r="J24" s="275"/>
      <c r="K24" s="275"/>
    </row>
    <row r="25" spans="1:12" ht="157.5" customHeight="1" x14ac:dyDescent="0.3">
      <c r="A25" s="284"/>
      <c r="B25" s="3397"/>
      <c r="C25" s="1177" t="s">
        <v>1938</v>
      </c>
      <c r="D25" s="2124" t="s">
        <v>1939</v>
      </c>
      <c r="E25" s="2125" t="s">
        <v>1940</v>
      </c>
      <c r="F25" s="1180">
        <v>10.3</v>
      </c>
      <c r="G25" s="3400">
        <f>ROUND(13420*(1-C51),2)</f>
        <v>13420</v>
      </c>
      <c r="H25" s="3400"/>
      <c r="I25" s="276"/>
      <c r="J25" s="275"/>
      <c r="K25" s="275"/>
    </row>
    <row r="26" spans="1:12" ht="159" customHeight="1" x14ac:dyDescent="0.3">
      <c r="A26" s="284"/>
      <c r="B26" s="3398"/>
      <c r="C26" s="1177" t="s">
        <v>1941</v>
      </c>
      <c r="D26" s="2126" t="s">
        <v>1942</v>
      </c>
      <c r="E26" s="2127" t="s">
        <v>1943</v>
      </c>
      <c r="F26" s="1180">
        <v>8.67</v>
      </c>
      <c r="G26" s="3400">
        <f>ROUND(9076*(1-C51),2)</f>
        <v>9076</v>
      </c>
      <c r="H26" s="3400"/>
      <c r="I26" s="276"/>
      <c r="J26" s="275"/>
      <c r="K26" s="275"/>
    </row>
    <row r="27" spans="1:12" ht="155.25" customHeight="1" x14ac:dyDescent="0.3">
      <c r="A27" s="284"/>
      <c r="B27" s="3398"/>
      <c r="C27" s="1177" t="s">
        <v>1944</v>
      </c>
      <c r="D27" s="3401" t="s">
        <v>1638</v>
      </c>
      <c r="E27" s="3402"/>
      <c r="F27" s="1180">
        <v>0.1</v>
      </c>
      <c r="G27" s="3400">
        <f>ROUND(496*(1-C51),2)</f>
        <v>496</v>
      </c>
      <c r="H27" s="3400"/>
      <c r="I27" s="276"/>
      <c r="J27" s="275"/>
      <c r="K27" s="275"/>
    </row>
    <row r="28" spans="1:12" ht="147.75" customHeight="1" x14ac:dyDescent="0.3">
      <c r="A28" s="284"/>
      <c r="B28" s="3398"/>
      <c r="C28" s="1177" t="s">
        <v>1639</v>
      </c>
      <c r="D28" s="2126" t="s">
        <v>1945</v>
      </c>
      <c r="E28" s="2127" t="s">
        <v>1946</v>
      </c>
      <c r="F28" s="1180">
        <v>0.3</v>
      </c>
      <c r="G28" s="3400">
        <f>ROUND(222*(1-C51),2)</f>
        <v>222</v>
      </c>
      <c r="H28" s="3400"/>
      <c r="I28" s="276"/>
      <c r="J28" s="275"/>
      <c r="K28" s="275"/>
    </row>
    <row r="29" spans="1:12" ht="205.5" customHeight="1" x14ac:dyDescent="0.3">
      <c r="A29" s="284"/>
      <c r="B29" s="3399"/>
      <c r="C29" s="1177" t="s">
        <v>1947</v>
      </c>
      <c r="D29" s="322" t="s">
        <v>1948</v>
      </c>
      <c r="E29" s="323" t="s">
        <v>1949</v>
      </c>
      <c r="F29" s="1180">
        <v>0.55000000000000004</v>
      </c>
      <c r="G29" s="3400">
        <f>ROUND(826*(1-C51),2)</f>
        <v>826</v>
      </c>
      <c r="H29" s="3400"/>
      <c r="I29" s="276"/>
      <c r="J29" s="275"/>
      <c r="K29" s="275"/>
    </row>
    <row r="30" spans="1:12" ht="293.25" customHeight="1" x14ac:dyDescent="0.3">
      <c r="A30" s="284"/>
      <c r="B30" s="3397"/>
      <c r="C30" s="1177" t="s">
        <v>710</v>
      </c>
      <c r="D30" s="1184" t="s">
        <v>1950</v>
      </c>
      <c r="E30" s="1179" t="s">
        <v>1951</v>
      </c>
      <c r="F30" s="1180">
        <v>20.399999999999999</v>
      </c>
      <c r="G30" s="3400">
        <f>ROUND(17490*(1-C51),2)</f>
        <v>17490</v>
      </c>
      <c r="H30" s="3400"/>
      <c r="I30" s="1158"/>
      <c r="J30" s="275"/>
      <c r="K30" s="275"/>
      <c r="L30" s="275"/>
    </row>
    <row r="31" spans="1:12" ht="129" customHeight="1" x14ac:dyDescent="0.3">
      <c r="A31" s="284"/>
      <c r="B31" s="3398"/>
      <c r="C31" s="1177" t="s">
        <v>1941</v>
      </c>
      <c r="D31" s="2126" t="s">
        <v>1952</v>
      </c>
      <c r="E31" s="2127" t="s">
        <v>1953</v>
      </c>
      <c r="F31" s="1180">
        <v>8.67</v>
      </c>
      <c r="G31" s="3400">
        <f>ROUND(9076*(1-C51),2)</f>
        <v>9076</v>
      </c>
      <c r="H31" s="3400"/>
      <c r="I31" s="276"/>
      <c r="J31" s="275"/>
      <c r="K31" s="275"/>
    </row>
    <row r="32" spans="1:12" ht="123" customHeight="1" x14ac:dyDescent="0.3">
      <c r="A32" s="284"/>
      <c r="B32" s="3398"/>
      <c r="C32" s="1177" t="s">
        <v>1954</v>
      </c>
      <c r="D32" s="3401" t="s">
        <v>1955</v>
      </c>
      <c r="E32" s="3402"/>
      <c r="F32" s="1180">
        <v>2.1</v>
      </c>
      <c r="G32" s="3400">
        <f>ROUND(1540*(1-C51),2)</f>
        <v>1540</v>
      </c>
      <c r="H32" s="3400"/>
      <c r="I32" s="276"/>
      <c r="J32" s="275"/>
      <c r="K32" s="275"/>
    </row>
    <row r="33" spans="1:11" ht="141.75" customHeight="1" x14ac:dyDescent="0.3">
      <c r="A33" s="284"/>
      <c r="B33" s="3398"/>
      <c r="C33" s="1177" t="s">
        <v>1956</v>
      </c>
      <c r="D33" s="322" t="s">
        <v>1957</v>
      </c>
      <c r="E33" s="323" t="s">
        <v>1958</v>
      </c>
      <c r="F33" s="1180">
        <v>1.64</v>
      </c>
      <c r="G33" s="3400">
        <f>ROUND(1354*(1-C51),2)</f>
        <v>1354</v>
      </c>
      <c r="H33" s="3400"/>
      <c r="I33" s="276"/>
      <c r="J33" s="275"/>
      <c r="K33" s="275"/>
    </row>
    <row r="34" spans="1:11" ht="136.5" customHeight="1" x14ac:dyDescent="0.3">
      <c r="A34" s="284"/>
      <c r="B34" s="3398"/>
      <c r="C34" s="1177" t="s">
        <v>1959</v>
      </c>
      <c r="D34" s="2126" t="s">
        <v>1960</v>
      </c>
      <c r="E34" s="2127" t="s">
        <v>1961</v>
      </c>
      <c r="F34" s="1180">
        <v>0.19</v>
      </c>
      <c r="G34" s="3400">
        <f>ROUND(288*(1-C51),2)</f>
        <v>288</v>
      </c>
      <c r="H34" s="3400"/>
      <c r="I34" s="276"/>
      <c r="J34" s="275"/>
      <c r="K34" s="275"/>
    </row>
    <row r="35" spans="1:11" ht="127.5" customHeight="1" x14ac:dyDescent="0.3">
      <c r="A35" s="284"/>
      <c r="B35" s="3398"/>
      <c r="C35" s="1177" t="s">
        <v>1962</v>
      </c>
      <c r="D35" s="2126" t="s">
        <v>1963</v>
      </c>
      <c r="E35" s="2127" t="s">
        <v>1964</v>
      </c>
      <c r="F35" s="1180">
        <v>0.11</v>
      </c>
      <c r="G35" s="3400">
        <f>ROUND(176*(1-C51),2)</f>
        <v>176</v>
      </c>
      <c r="H35" s="3400"/>
      <c r="I35" s="276"/>
      <c r="J35" s="275"/>
      <c r="K35" s="275"/>
    </row>
    <row r="36" spans="1:11" ht="146.25" customHeight="1" x14ac:dyDescent="0.3">
      <c r="A36" s="284"/>
      <c r="B36" s="3399"/>
      <c r="C36" s="1169" t="s">
        <v>1965</v>
      </c>
      <c r="D36" s="2126" t="s">
        <v>1966</v>
      </c>
      <c r="E36" s="2127" t="s">
        <v>1967</v>
      </c>
      <c r="F36" s="1171">
        <v>0.15</v>
      </c>
      <c r="G36" s="3400">
        <f>ROUND(204*(1-C51),2)</f>
        <v>204</v>
      </c>
      <c r="H36" s="3400"/>
      <c r="I36" s="276"/>
      <c r="J36" s="275"/>
      <c r="K36" s="275"/>
    </row>
    <row r="37" spans="1:11" ht="300" customHeight="1" x14ac:dyDescent="0.3">
      <c r="A37" s="290"/>
      <c r="B37" s="3390"/>
      <c r="C37" s="316" t="s">
        <v>3067</v>
      </c>
      <c r="D37" s="2126" t="s">
        <v>3071</v>
      </c>
      <c r="E37" s="2127" t="s">
        <v>3072</v>
      </c>
      <c r="F37" s="1171">
        <v>12.71</v>
      </c>
      <c r="G37" s="2096">
        <f>ROUND(4180*(1-C51),2)</f>
        <v>4180</v>
      </c>
      <c r="H37" s="2096">
        <f>G37*1.1</f>
        <v>4598</v>
      </c>
      <c r="I37" s="276"/>
      <c r="J37" s="275"/>
      <c r="K37" s="275"/>
    </row>
    <row r="38" spans="1:11" ht="292.5" customHeight="1" x14ac:dyDescent="0.3">
      <c r="A38" s="290"/>
      <c r="B38" s="3390"/>
      <c r="C38" s="316" t="s">
        <v>3068</v>
      </c>
      <c r="D38" s="2126" t="s">
        <v>3073</v>
      </c>
      <c r="E38" s="2127" t="s">
        <v>3074</v>
      </c>
      <c r="F38" s="1171">
        <v>18.53</v>
      </c>
      <c r="G38" s="2096">
        <f>ROUND(5192*(1-C51),2)</f>
        <v>5192</v>
      </c>
      <c r="H38" s="2096">
        <f>G38*1.1</f>
        <v>5711.2000000000007</v>
      </c>
      <c r="I38" s="276"/>
      <c r="J38" s="275"/>
      <c r="K38" s="275"/>
    </row>
    <row r="39" spans="1:11" ht="300" customHeight="1" x14ac:dyDescent="0.3">
      <c r="A39" s="290"/>
      <c r="B39" s="3390"/>
      <c r="C39" s="316" t="s">
        <v>3069</v>
      </c>
      <c r="D39" s="2069" t="s">
        <v>3075</v>
      </c>
      <c r="E39" s="2070" t="s">
        <v>3076</v>
      </c>
      <c r="F39" s="1171">
        <v>16.420000000000002</v>
      </c>
      <c r="G39" s="2096">
        <f>ROUND(4840*(1-C51),2)</f>
        <v>4840</v>
      </c>
      <c r="H39" s="2096">
        <f>G39*1.1</f>
        <v>5324</v>
      </c>
      <c r="I39" s="276"/>
      <c r="J39" s="275"/>
      <c r="K39" s="275"/>
    </row>
    <row r="40" spans="1:11" ht="293.25" customHeight="1" x14ac:dyDescent="0.45">
      <c r="A40" s="292"/>
      <c r="B40" s="3390"/>
      <c r="C40" s="316" t="s">
        <v>3070</v>
      </c>
      <c r="D40" s="2126" t="s">
        <v>3077</v>
      </c>
      <c r="E40" s="2127" t="s">
        <v>3078</v>
      </c>
      <c r="F40" s="1171">
        <v>22.24</v>
      </c>
      <c r="G40" s="2096">
        <f>ROUND(5852*(1-C51),2)</f>
        <v>5852</v>
      </c>
      <c r="H40" s="2096">
        <f>G40*1.1</f>
        <v>6437.2000000000007</v>
      </c>
      <c r="I40" s="293"/>
      <c r="J40" s="275"/>
      <c r="K40" s="275"/>
    </row>
    <row r="41" spans="1:11" ht="49.5" x14ac:dyDescent="0.45">
      <c r="A41" s="292"/>
      <c r="B41" s="952" t="s">
        <v>649</v>
      </c>
      <c r="C41" s="1185"/>
      <c r="D41" s="1186"/>
      <c r="E41" s="293"/>
      <c r="F41" s="295"/>
      <c r="G41" s="293"/>
      <c r="H41" s="296"/>
      <c r="I41" s="293"/>
      <c r="J41" s="275"/>
      <c r="K41" s="275"/>
    </row>
    <row r="42" spans="1:11" ht="50.25" x14ac:dyDescent="0.7">
      <c r="A42" s="292"/>
      <c r="B42" s="1187" t="s">
        <v>3215</v>
      </c>
      <c r="C42" s="1185"/>
      <c r="D42" s="1186"/>
      <c r="E42" s="293"/>
      <c r="F42" s="295"/>
      <c r="G42" s="293"/>
      <c r="H42" s="296"/>
      <c r="I42" s="276"/>
      <c r="J42" s="275"/>
      <c r="K42" s="275"/>
    </row>
    <row r="43" spans="1:11" ht="50.25" x14ac:dyDescent="0.7">
      <c r="A43" s="292"/>
      <c r="B43" s="1187" t="s">
        <v>3214</v>
      </c>
      <c r="C43" s="1190"/>
      <c r="D43" s="1191"/>
      <c r="E43" s="279"/>
      <c r="F43" s="299"/>
      <c r="G43" s="300"/>
      <c r="H43" s="301"/>
      <c r="I43" s="276"/>
      <c r="J43" s="275"/>
      <c r="K43" s="275"/>
    </row>
    <row r="44" spans="1:11" ht="42.75" customHeight="1" x14ac:dyDescent="0.65">
      <c r="A44" s="292"/>
      <c r="B44" s="1188" t="s">
        <v>711</v>
      </c>
      <c r="C44" s="1185"/>
      <c r="D44" s="1186"/>
      <c r="E44" s="279"/>
      <c r="F44" s="299"/>
      <c r="G44" s="300"/>
      <c r="H44" s="301"/>
      <c r="I44" s="276"/>
      <c r="J44" s="275"/>
      <c r="K44" s="275"/>
    </row>
    <row r="45" spans="1:11" ht="49.5" x14ac:dyDescent="0.65">
      <c r="B45" s="1189"/>
      <c r="C45" s="1190"/>
      <c r="D45" s="1191"/>
    </row>
    <row r="46" spans="1:11" ht="49.5" x14ac:dyDescent="0.65">
      <c r="B46" s="1188" t="s">
        <v>712</v>
      </c>
      <c r="C46" s="1185"/>
      <c r="D46" s="1186"/>
    </row>
    <row r="47" spans="1:11" ht="20.25" x14ac:dyDescent="0.3">
      <c r="C47" s="298"/>
      <c r="D47" s="298"/>
    </row>
    <row r="48" spans="1:11" ht="20.25" x14ac:dyDescent="0.2">
      <c r="C48" s="293"/>
      <c r="D48" s="293"/>
    </row>
    <row r="49" spans="2:11" ht="45" x14ac:dyDescent="0.2">
      <c r="C49" s="293"/>
      <c r="D49" s="293"/>
      <c r="I49" s="305"/>
      <c r="J49" s="305"/>
      <c r="K49" s="305"/>
    </row>
    <row r="50" spans="2:11" ht="90.75" customHeight="1" x14ac:dyDescent="0.2">
      <c r="B50" s="3391" t="s">
        <v>66</v>
      </c>
      <c r="C50" s="3393" t="s">
        <v>701</v>
      </c>
      <c r="D50" s="3394"/>
      <c r="E50" s="2063"/>
      <c r="F50" s="2061"/>
      <c r="G50" s="305"/>
      <c r="H50" s="306"/>
      <c r="I50" s="307"/>
      <c r="J50" s="307"/>
      <c r="K50" s="307"/>
    </row>
    <row r="51" spans="2:11" ht="64.5" customHeight="1" x14ac:dyDescent="0.2">
      <c r="B51" s="3392"/>
      <c r="C51" s="3395">
        <v>0</v>
      </c>
      <c r="D51" s="3396"/>
      <c r="E51" s="2064"/>
      <c r="F51" s="2062"/>
      <c r="G51" s="308"/>
      <c r="H51" s="309"/>
    </row>
  </sheetData>
  <mergeCells count="36">
    <mergeCell ref="G23:H23"/>
    <mergeCell ref="A1:H5"/>
    <mergeCell ref="B6:H6"/>
    <mergeCell ref="D8:E8"/>
    <mergeCell ref="G17:H17"/>
    <mergeCell ref="G18:H18"/>
    <mergeCell ref="B19:B20"/>
    <mergeCell ref="G19:H19"/>
    <mergeCell ref="G20:H20"/>
    <mergeCell ref="B21:B22"/>
    <mergeCell ref="D21:E21"/>
    <mergeCell ref="G21:H21"/>
    <mergeCell ref="D22:E22"/>
    <mergeCell ref="G22:H22"/>
    <mergeCell ref="G24:H24"/>
    <mergeCell ref="B25:B29"/>
    <mergeCell ref="G25:H25"/>
    <mergeCell ref="G26:H26"/>
    <mergeCell ref="D27:E27"/>
    <mergeCell ref="G27:H27"/>
    <mergeCell ref="G28:H28"/>
    <mergeCell ref="G29:H29"/>
    <mergeCell ref="B30:B36"/>
    <mergeCell ref="G30:H30"/>
    <mergeCell ref="G31:H31"/>
    <mergeCell ref="D32:E32"/>
    <mergeCell ref="G32:H32"/>
    <mergeCell ref="G33:H33"/>
    <mergeCell ref="G34:H34"/>
    <mergeCell ref="G35:H35"/>
    <mergeCell ref="G36:H36"/>
    <mergeCell ref="B37:B38"/>
    <mergeCell ref="B39:B40"/>
    <mergeCell ref="B50:B51"/>
    <mergeCell ref="C50:D50"/>
    <mergeCell ref="C51:D51"/>
  </mergeCells>
  <printOptions horizontalCentered="1"/>
  <pageMargins left="0.31496062992125984" right="0" top="0" bottom="0" header="0" footer="0"/>
  <pageSetup paperSize="9" scale="11" fitToHeight="0" orientation="portrait" r:id="rId1"/>
  <headerFooter alignWithMargins="0">
    <oddFooter>&amp;R&amp;28Стр. &amp;P из  &amp;N&amp;A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8"/>
  <dimension ref="A1:K86"/>
  <sheetViews>
    <sheetView topLeftCell="A28" zoomScale="20" zoomScaleNormal="20" zoomScaleSheetLayoutView="20" zoomScalePageLayoutView="10" workbookViewId="0">
      <selection sqref="A1:C2"/>
    </sheetView>
  </sheetViews>
  <sheetFormatPr defaultRowHeight="14.25" x14ac:dyDescent="0.2"/>
  <cols>
    <col min="1" max="1" width="143.7109375" style="274" customWidth="1"/>
    <col min="2" max="2" width="177.5703125" style="274" customWidth="1"/>
    <col min="3" max="3" width="123.7109375" style="274" customWidth="1"/>
    <col min="4" max="4" width="142.28515625" style="274" customWidth="1"/>
    <col min="5" max="5" width="53.42578125" style="337" customWidth="1"/>
    <col min="6" max="6" width="90.140625" style="274" customWidth="1"/>
    <col min="7" max="7" width="94" style="274" customWidth="1"/>
    <col min="8" max="256" width="9.140625" style="274"/>
    <col min="257" max="257" width="130.85546875" style="274" customWidth="1"/>
    <col min="258" max="258" width="164.85546875" style="274" customWidth="1"/>
    <col min="259" max="259" width="95.140625" style="274" customWidth="1"/>
    <col min="260" max="260" width="149.42578125" style="274" customWidth="1"/>
    <col min="261" max="261" width="39.85546875" style="274" customWidth="1"/>
    <col min="262" max="262" width="44.7109375" style="274" customWidth="1"/>
    <col min="263" max="263" width="44.140625" style="274" customWidth="1"/>
    <col min="264" max="512" width="9.140625" style="274"/>
    <col min="513" max="513" width="130.85546875" style="274" customWidth="1"/>
    <col min="514" max="514" width="164.85546875" style="274" customWidth="1"/>
    <col min="515" max="515" width="95.140625" style="274" customWidth="1"/>
    <col min="516" max="516" width="149.42578125" style="274" customWidth="1"/>
    <col min="517" max="517" width="39.85546875" style="274" customWidth="1"/>
    <col min="518" max="518" width="44.7109375" style="274" customWidth="1"/>
    <col min="519" max="519" width="44.140625" style="274" customWidth="1"/>
    <col min="520" max="768" width="9.140625" style="274"/>
    <col min="769" max="769" width="130.85546875" style="274" customWidth="1"/>
    <col min="770" max="770" width="164.85546875" style="274" customWidth="1"/>
    <col min="771" max="771" width="95.140625" style="274" customWidth="1"/>
    <col min="772" max="772" width="149.42578125" style="274" customWidth="1"/>
    <col min="773" max="773" width="39.85546875" style="274" customWidth="1"/>
    <col min="774" max="774" width="44.7109375" style="274" customWidth="1"/>
    <col min="775" max="775" width="44.140625" style="274" customWidth="1"/>
    <col min="776" max="1024" width="9.140625" style="274"/>
    <col min="1025" max="1025" width="130.85546875" style="274" customWidth="1"/>
    <col min="1026" max="1026" width="164.85546875" style="274" customWidth="1"/>
    <col min="1027" max="1027" width="95.140625" style="274" customWidth="1"/>
    <col min="1028" max="1028" width="149.42578125" style="274" customWidth="1"/>
    <col min="1029" max="1029" width="39.85546875" style="274" customWidth="1"/>
    <col min="1030" max="1030" width="44.7109375" style="274" customWidth="1"/>
    <col min="1031" max="1031" width="44.140625" style="274" customWidth="1"/>
    <col min="1032" max="1280" width="9.140625" style="274"/>
    <col min="1281" max="1281" width="130.85546875" style="274" customWidth="1"/>
    <col min="1282" max="1282" width="164.85546875" style="274" customWidth="1"/>
    <col min="1283" max="1283" width="95.140625" style="274" customWidth="1"/>
    <col min="1284" max="1284" width="149.42578125" style="274" customWidth="1"/>
    <col min="1285" max="1285" width="39.85546875" style="274" customWidth="1"/>
    <col min="1286" max="1286" width="44.7109375" style="274" customWidth="1"/>
    <col min="1287" max="1287" width="44.140625" style="274" customWidth="1"/>
    <col min="1288" max="1536" width="9.140625" style="274"/>
    <col min="1537" max="1537" width="130.85546875" style="274" customWidth="1"/>
    <col min="1538" max="1538" width="164.85546875" style="274" customWidth="1"/>
    <col min="1539" max="1539" width="95.140625" style="274" customWidth="1"/>
    <col min="1540" max="1540" width="149.42578125" style="274" customWidth="1"/>
    <col min="1541" max="1541" width="39.85546875" style="274" customWidth="1"/>
    <col min="1542" max="1542" width="44.7109375" style="274" customWidth="1"/>
    <col min="1543" max="1543" width="44.140625" style="274" customWidth="1"/>
    <col min="1544" max="1792" width="9.140625" style="274"/>
    <col min="1793" max="1793" width="130.85546875" style="274" customWidth="1"/>
    <col min="1794" max="1794" width="164.85546875" style="274" customWidth="1"/>
    <col min="1795" max="1795" width="95.140625" style="274" customWidth="1"/>
    <col min="1796" max="1796" width="149.42578125" style="274" customWidth="1"/>
    <col min="1797" max="1797" width="39.85546875" style="274" customWidth="1"/>
    <col min="1798" max="1798" width="44.7109375" style="274" customWidth="1"/>
    <col min="1799" max="1799" width="44.140625" style="274" customWidth="1"/>
    <col min="1800" max="2048" width="9.140625" style="274"/>
    <col min="2049" max="2049" width="130.85546875" style="274" customWidth="1"/>
    <col min="2050" max="2050" width="164.85546875" style="274" customWidth="1"/>
    <col min="2051" max="2051" width="95.140625" style="274" customWidth="1"/>
    <col min="2052" max="2052" width="149.42578125" style="274" customWidth="1"/>
    <col min="2053" max="2053" width="39.85546875" style="274" customWidth="1"/>
    <col min="2054" max="2054" width="44.7109375" style="274" customWidth="1"/>
    <col min="2055" max="2055" width="44.140625" style="274" customWidth="1"/>
    <col min="2056" max="2304" width="9.140625" style="274"/>
    <col min="2305" max="2305" width="130.85546875" style="274" customWidth="1"/>
    <col min="2306" max="2306" width="164.85546875" style="274" customWidth="1"/>
    <col min="2307" max="2307" width="95.140625" style="274" customWidth="1"/>
    <col min="2308" max="2308" width="149.42578125" style="274" customWidth="1"/>
    <col min="2309" max="2309" width="39.85546875" style="274" customWidth="1"/>
    <col min="2310" max="2310" width="44.7109375" style="274" customWidth="1"/>
    <col min="2311" max="2311" width="44.140625" style="274" customWidth="1"/>
    <col min="2312" max="2560" width="9.140625" style="274"/>
    <col min="2561" max="2561" width="130.85546875" style="274" customWidth="1"/>
    <col min="2562" max="2562" width="164.85546875" style="274" customWidth="1"/>
    <col min="2563" max="2563" width="95.140625" style="274" customWidth="1"/>
    <col min="2564" max="2564" width="149.42578125" style="274" customWidth="1"/>
    <col min="2565" max="2565" width="39.85546875" style="274" customWidth="1"/>
    <col min="2566" max="2566" width="44.7109375" style="274" customWidth="1"/>
    <col min="2567" max="2567" width="44.140625" style="274" customWidth="1"/>
    <col min="2568" max="2816" width="9.140625" style="274"/>
    <col min="2817" max="2817" width="130.85546875" style="274" customWidth="1"/>
    <col min="2818" max="2818" width="164.85546875" style="274" customWidth="1"/>
    <col min="2819" max="2819" width="95.140625" style="274" customWidth="1"/>
    <col min="2820" max="2820" width="149.42578125" style="274" customWidth="1"/>
    <col min="2821" max="2821" width="39.85546875" style="274" customWidth="1"/>
    <col min="2822" max="2822" width="44.7109375" style="274" customWidth="1"/>
    <col min="2823" max="2823" width="44.140625" style="274" customWidth="1"/>
    <col min="2824" max="3072" width="9.140625" style="274"/>
    <col min="3073" max="3073" width="130.85546875" style="274" customWidth="1"/>
    <col min="3074" max="3074" width="164.85546875" style="274" customWidth="1"/>
    <col min="3075" max="3075" width="95.140625" style="274" customWidth="1"/>
    <col min="3076" max="3076" width="149.42578125" style="274" customWidth="1"/>
    <col min="3077" max="3077" width="39.85546875" style="274" customWidth="1"/>
    <col min="3078" max="3078" width="44.7109375" style="274" customWidth="1"/>
    <col min="3079" max="3079" width="44.140625" style="274" customWidth="1"/>
    <col min="3080" max="3328" width="9.140625" style="274"/>
    <col min="3329" max="3329" width="130.85546875" style="274" customWidth="1"/>
    <col min="3330" max="3330" width="164.85546875" style="274" customWidth="1"/>
    <col min="3331" max="3331" width="95.140625" style="274" customWidth="1"/>
    <col min="3332" max="3332" width="149.42578125" style="274" customWidth="1"/>
    <col min="3333" max="3333" width="39.85546875" style="274" customWidth="1"/>
    <col min="3334" max="3334" width="44.7109375" style="274" customWidth="1"/>
    <col min="3335" max="3335" width="44.140625" style="274" customWidth="1"/>
    <col min="3336" max="3584" width="9.140625" style="274"/>
    <col min="3585" max="3585" width="130.85546875" style="274" customWidth="1"/>
    <col min="3586" max="3586" width="164.85546875" style="274" customWidth="1"/>
    <col min="3587" max="3587" width="95.140625" style="274" customWidth="1"/>
    <col min="3588" max="3588" width="149.42578125" style="274" customWidth="1"/>
    <col min="3589" max="3589" width="39.85546875" style="274" customWidth="1"/>
    <col min="3590" max="3590" width="44.7109375" style="274" customWidth="1"/>
    <col min="3591" max="3591" width="44.140625" style="274" customWidth="1"/>
    <col min="3592" max="3840" width="9.140625" style="274"/>
    <col min="3841" max="3841" width="130.85546875" style="274" customWidth="1"/>
    <col min="3842" max="3842" width="164.85546875" style="274" customWidth="1"/>
    <col min="3843" max="3843" width="95.140625" style="274" customWidth="1"/>
    <col min="3844" max="3844" width="149.42578125" style="274" customWidth="1"/>
    <col min="3845" max="3845" width="39.85546875" style="274" customWidth="1"/>
    <col min="3846" max="3846" width="44.7109375" style="274" customWidth="1"/>
    <col min="3847" max="3847" width="44.140625" style="274" customWidth="1"/>
    <col min="3848" max="4096" width="9.140625" style="274"/>
    <col min="4097" max="4097" width="130.85546875" style="274" customWidth="1"/>
    <col min="4098" max="4098" width="164.85546875" style="274" customWidth="1"/>
    <col min="4099" max="4099" width="95.140625" style="274" customWidth="1"/>
    <col min="4100" max="4100" width="149.42578125" style="274" customWidth="1"/>
    <col min="4101" max="4101" width="39.85546875" style="274" customWidth="1"/>
    <col min="4102" max="4102" width="44.7109375" style="274" customWidth="1"/>
    <col min="4103" max="4103" width="44.140625" style="274" customWidth="1"/>
    <col min="4104" max="4352" width="9.140625" style="274"/>
    <col min="4353" max="4353" width="130.85546875" style="274" customWidth="1"/>
    <col min="4354" max="4354" width="164.85546875" style="274" customWidth="1"/>
    <col min="4355" max="4355" width="95.140625" style="274" customWidth="1"/>
    <col min="4356" max="4356" width="149.42578125" style="274" customWidth="1"/>
    <col min="4357" max="4357" width="39.85546875" style="274" customWidth="1"/>
    <col min="4358" max="4358" width="44.7109375" style="274" customWidth="1"/>
    <col min="4359" max="4359" width="44.140625" style="274" customWidth="1"/>
    <col min="4360" max="4608" width="9.140625" style="274"/>
    <col min="4609" max="4609" width="130.85546875" style="274" customWidth="1"/>
    <col min="4610" max="4610" width="164.85546875" style="274" customWidth="1"/>
    <col min="4611" max="4611" width="95.140625" style="274" customWidth="1"/>
    <col min="4612" max="4612" width="149.42578125" style="274" customWidth="1"/>
    <col min="4613" max="4613" width="39.85546875" style="274" customWidth="1"/>
    <col min="4614" max="4614" width="44.7109375" style="274" customWidth="1"/>
    <col min="4615" max="4615" width="44.140625" style="274" customWidth="1"/>
    <col min="4616" max="4864" width="9.140625" style="274"/>
    <col min="4865" max="4865" width="130.85546875" style="274" customWidth="1"/>
    <col min="4866" max="4866" width="164.85546875" style="274" customWidth="1"/>
    <col min="4867" max="4867" width="95.140625" style="274" customWidth="1"/>
    <col min="4868" max="4868" width="149.42578125" style="274" customWidth="1"/>
    <col min="4869" max="4869" width="39.85546875" style="274" customWidth="1"/>
    <col min="4870" max="4870" width="44.7109375" style="274" customWidth="1"/>
    <col min="4871" max="4871" width="44.140625" style="274" customWidth="1"/>
    <col min="4872" max="5120" width="9.140625" style="274"/>
    <col min="5121" max="5121" width="130.85546875" style="274" customWidth="1"/>
    <col min="5122" max="5122" width="164.85546875" style="274" customWidth="1"/>
    <col min="5123" max="5123" width="95.140625" style="274" customWidth="1"/>
    <col min="5124" max="5124" width="149.42578125" style="274" customWidth="1"/>
    <col min="5125" max="5125" width="39.85546875" style="274" customWidth="1"/>
    <col min="5126" max="5126" width="44.7109375" style="274" customWidth="1"/>
    <col min="5127" max="5127" width="44.140625" style="274" customWidth="1"/>
    <col min="5128" max="5376" width="9.140625" style="274"/>
    <col min="5377" max="5377" width="130.85546875" style="274" customWidth="1"/>
    <col min="5378" max="5378" width="164.85546875" style="274" customWidth="1"/>
    <col min="5379" max="5379" width="95.140625" style="274" customWidth="1"/>
    <col min="5380" max="5380" width="149.42578125" style="274" customWidth="1"/>
    <col min="5381" max="5381" width="39.85546875" style="274" customWidth="1"/>
    <col min="5382" max="5382" width="44.7109375" style="274" customWidth="1"/>
    <col min="5383" max="5383" width="44.140625" style="274" customWidth="1"/>
    <col min="5384" max="5632" width="9.140625" style="274"/>
    <col min="5633" max="5633" width="130.85546875" style="274" customWidth="1"/>
    <col min="5634" max="5634" width="164.85546875" style="274" customWidth="1"/>
    <col min="5635" max="5635" width="95.140625" style="274" customWidth="1"/>
    <col min="5636" max="5636" width="149.42578125" style="274" customWidth="1"/>
    <col min="5637" max="5637" width="39.85546875" style="274" customWidth="1"/>
    <col min="5638" max="5638" width="44.7109375" style="274" customWidth="1"/>
    <col min="5639" max="5639" width="44.140625" style="274" customWidth="1"/>
    <col min="5640" max="5888" width="9.140625" style="274"/>
    <col min="5889" max="5889" width="130.85546875" style="274" customWidth="1"/>
    <col min="5890" max="5890" width="164.85546875" style="274" customWidth="1"/>
    <col min="5891" max="5891" width="95.140625" style="274" customWidth="1"/>
    <col min="5892" max="5892" width="149.42578125" style="274" customWidth="1"/>
    <col min="5893" max="5893" width="39.85546875" style="274" customWidth="1"/>
    <col min="5894" max="5894" width="44.7109375" style="274" customWidth="1"/>
    <col min="5895" max="5895" width="44.140625" style="274" customWidth="1"/>
    <col min="5896" max="6144" width="9.140625" style="274"/>
    <col min="6145" max="6145" width="130.85546875" style="274" customWidth="1"/>
    <col min="6146" max="6146" width="164.85546875" style="274" customWidth="1"/>
    <col min="6147" max="6147" width="95.140625" style="274" customWidth="1"/>
    <col min="6148" max="6148" width="149.42578125" style="274" customWidth="1"/>
    <col min="6149" max="6149" width="39.85546875" style="274" customWidth="1"/>
    <col min="6150" max="6150" width="44.7109375" style="274" customWidth="1"/>
    <col min="6151" max="6151" width="44.140625" style="274" customWidth="1"/>
    <col min="6152" max="6400" width="9.140625" style="274"/>
    <col min="6401" max="6401" width="130.85546875" style="274" customWidth="1"/>
    <col min="6402" max="6402" width="164.85546875" style="274" customWidth="1"/>
    <col min="6403" max="6403" width="95.140625" style="274" customWidth="1"/>
    <col min="6404" max="6404" width="149.42578125" style="274" customWidth="1"/>
    <col min="6405" max="6405" width="39.85546875" style="274" customWidth="1"/>
    <col min="6406" max="6406" width="44.7109375" style="274" customWidth="1"/>
    <col min="6407" max="6407" width="44.140625" style="274" customWidth="1"/>
    <col min="6408" max="6656" width="9.140625" style="274"/>
    <col min="6657" max="6657" width="130.85546875" style="274" customWidth="1"/>
    <col min="6658" max="6658" width="164.85546875" style="274" customWidth="1"/>
    <col min="6659" max="6659" width="95.140625" style="274" customWidth="1"/>
    <col min="6660" max="6660" width="149.42578125" style="274" customWidth="1"/>
    <col min="6661" max="6661" width="39.85546875" style="274" customWidth="1"/>
    <col min="6662" max="6662" width="44.7109375" style="274" customWidth="1"/>
    <col min="6663" max="6663" width="44.140625" style="274" customWidth="1"/>
    <col min="6664" max="6912" width="9.140625" style="274"/>
    <col min="6913" max="6913" width="130.85546875" style="274" customWidth="1"/>
    <col min="6914" max="6914" width="164.85546875" style="274" customWidth="1"/>
    <col min="6915" max="6915" width="95.140625" style="274" customWidth="1"/>
    <col min="6916" max="6916" width="149.42578125" style="274" customWidth="1"/>
    <col min="6917" max="6917" width="39.85546875" style="274" customWidth="1"/>
    <col min="6918" max="6918" width="44.7109375" style="274" customWidth="1"/>
    <col min="6919" max="6919" width="44.140625" style="274" customWidth="1"/>
    <col min="6920" max="7168" width="9.140625" style="274"/>
    <col min="7169" max="7169" width="130.85546875" style="274" customWidth="1"/>
    <col min="7170" max="7170" width="164.85546875" style="274" customWidth="1"/>
    <col min="7171" max="7171" width="95.140625" style="274" customWidth="1"/>
    <col min="7172" max="7172" width="149.42578125" style="274" customWidth="1"/>
    <col min="7173" max="7173" width="39.85546875" style="274" customWidth="1"/>
    <col min="7174" max="7174" width="44.7109375" style="274" customWidth="1"/>
    <col min="7175" max="7175" width="44.140625" style="274" customWidth="1"/>
    <col min="7176" max="7424" width="9.140625" style="274"/>
    <col min="7425" max="7425" width="130.85546875" style="274" customWidth="1"/>
    <col min="7426" max="7426" width="164.85546875" style="274" customWidth="1"/>
    <col min="7427" max="7427" width="95.140625" style="274" customWidth="1"/>
    <col min="7428" max="7428" width="149.42578125" style="274" customWidth="1"/>
    <col min="7429" max="7429" width="39.85546875" style="274" customWidth="1"/>
    <col min="7430" max="7430" width="44.7109375" style="274" customWidth="1"/>
    <col min="7431" max="7431" width="44.140625" style="274" customWidth="1"/>
    <col min="7432" max="7680" width="9.140625" style="274"/>
    <col min="7681" max="7681" width="130.85546875" style="274" customWidth="1"/>
    <col min="7682" max="7682" width="164.85546875" style="274" customWidth="1"/>
    <col min="7683" max="7683" width="95.140625" style="274" customWidth="1"/>
    <col min="7684" max="7684" width="149.42578125" style="274" customWidth="1"/>
    <col min="7685" max="7685" width="39.85546875" style="274" customWidth="1"/>
    <col min="7686" max="7686" width="44.7109375" style="274" customWidth="1"/>
    <col min="7687" max="7687" width="44.140625" style="274" customWidth="1"/>
    <col min="7688" max="7936" width="9.140625" style="274"/>
    <col min="7937" max="7937" width="130.85546875" style="274" customWidth="1"/>
    <col min="7938" max="7938" width="164.85546875" style="274" customWidth="1"/>
    <col min="7939" max="7939" width="95.140625" style="274" customWidth="1"/>
    <col min="7940" max="7940" width="149.42578125" style="274" customWidth="1"/>
    <col min="7941" max="7941" width="39.85546875" style="274" customWidth="1"/>
    <col min="7942" max="7942" width="44.7109375" style="274" customWidth="1"/>
    <col min="7943" max="7943" width="44.140625" style="274" customWidth="1"/>
    <col min="7944" max="8192" width="9.140625" style="274"/>
    <col min="8193" max="8193" width="130.85546875" style="274" customWidth="1"/>
    <col min="8194" max="8194" width="164.85546875" style="274" customWidth="1"/>
    <col min="8195" max="8195" width="95.140625" style="274" customWidth="1"/>
    <col min="8196" max="8196" width="149.42578125" style="274" customWidth="1"/>
    <col min="8197" max="8197" width="39.85546875" style="274" customWidth="1"/>
    <col min="8198" max="8198" width="44.7109375" style="274" customWidth="1"/>
    <col min="8199" max="8199" width="44.140625" style="274" customWidth="1"/>
    <col min="8200" max="8448" width="9.140625" style="274"/>
    <col min="8449" max="8449" width="130.85546875" style="274" customWidth="1"/>
    <col min="8450" max="8450" width="164.85546875" style="274" customWidth="1"/>
    <col min="8451" max="8451" width="95.140625" style="274" customWidth="1"/>
    <col min="8452" max="8452" width="149.42578125" style="274" customWidth="1"/>
    <col min="8453" max="8453" width="39.85546875" style="274" customWidth="1"/>
    <col min="8454" max="8454" width="44.7109375" style="274" customWidth="1"/>
    <col min="8455" max="8455" width="44.140625" style="274" customWidth="1"/>
    <col min="8456" max="8704" width="9.140625" style="274"/>
    <col min="8705" max="8705" width="130.85546875" style="274" customWidth="1"/>
    <col min="8706" max="8706" width="164.85546875" style="274" customWidth="1"/>
    <col min="8707" max="8707" width="95.140625" style="274" customWidth="1"/>
    <col min="8708" max="8708" width="149.42578125" style="274" customWidth="1"/>
    <col min="8709" max="8709" width="39.85546875" style="274" customWidth="1"/>
    <col min="8710" max="8710" width="44.7109375" style="274" customWidth="1"/>
    <col min="8711" max="8711" width="44.140625" style="274" customWidth="1"/>
    <col min="8712" max="8960" width="9.140625" style="274"/>
    <col min="8961" max="8961" width="130.85546875" style="274" customWidth="1"/>
    <col min="8962" max="8962" width="164.85546875" style="274" customWidth="1"/>
    <col min="8963" max="8963" width="95.140625" style="274" customWidth="1"/>
    <col min="8964" max="8964" width="149.42578125" style="274" customWidth="1"/>
    <col min="8965" max="8965" width="39.85546875" style="274" customWidth="1"/>
    <col min="8966" max="8966" width="44.7109375" style="274" customWidth="1"/>
    <col min="8967" max="8967" width="44.140625" style="274" customWidth="1"/>
    <col min="8968" max="9216" width="9.140625" style="274"/>
    <col min="9217" max="9217" width="130.85546875" style="274" customWidth="1"/>
    <col min="9218" max="9218" width="164.85546875" style="274" customWidth="1"/>
    <col min="9219" max="9219" width="95.140625" style="274" customWidth="1"/>
    <col min="9220" max="9220" width="149.42578125" style="274" customWidth="1"/>
    <col min="9221" max="9221" width="39.85546875" style="274" customWidth="1"/>
    <col min="9222" max="9222" width="44.7109375" style="274" customWidth="1"/>
    <col min="9223" max="9223" width="44.140625" style="274" customWidth="1"/>
    <col min="9224" max="9472" width="9.140625" style="274"/>
    <col min="9473" max="9473" width="130.85546875" style="274" customWidth="1"/>
    <col min="9474" max="9474" width="164.85546875" style="274" customWidth="1"/>
    <col min="9475" max="9475" width="95.140625" style="274" customWidth="1"/>
    <col min="9476" max="9476" width="149.42578125" style="274" customWidth="1"/>
    <col min="9477" max="9477" width="39.85546875" style="274" customWidth="1"/>
    <col min="9478" max="9478" width="44.7109375" style="274" customWidth="1"/>
    <col min="9479" max="9479" width="44.140625" style="274" customWidth="1"/>
    <col min="9480" max="9728" width="9.140625" style="274"/>
    <col min="9729" max="9729" width="130.85546875" style="274" customWidth="1"/>
    <col min="9730" max="9730" width="164.85546875" style="274" customWidth="1"/>
    <col min="9731" max="9731" width="95.140625" style="274" customWidth="1"/>
    <col min="9732" max="9732" width="149.42578125" style="274" customWidth="1"/>
    <col min="9733" max="9733" width="39.85546875" style="274" customWidth="1"/>
    <col min="9734" max="9734" width="44.7109375" style="274" customWidth="1"/>
    <col min="9735" max="9735" width="44.140625" style="274" customWidth="1"/>
    <col min="9736" max="9984" width="9.140625" style="274"/>
    <col min="9985" max="9985" width="130.85546875" style="274" customWidth="1"/>
    <col min="9986" max="9986" width="164.85546875" style="274" customWidth="1"/>
    <col min="9987" max="9987" width="95.140625" style="274" customWidth="1"/>
    <col min="9988" max="9988" width="149.42578125" style="274" customWidth="1"/>
    <col min="9989" max="9989" width="39.85546875" style="274" customWidth="1"/>
    <col min="9990" max="9990" width="44.7109375" style="274" customWidth="1"/>
    <col min="9991" max="9991" width="44.140625" style="274" customWidth="1"/>
    <col min="9992" max="10240" width="9.140625" style="274"/>
    <col min="10241" max="10241" width="130.85546875" style="274" customWidth="1"/>
    <col min="10242" max="10242" width="164.85546875" style="274" customWidth="1"/>
    <col min="10243" max="10243" width="95.140625" style="274" customWidth="1"/>
    <col min="10244" max="10244" width="149.42578125" style="274" customWidth="1"/>
    <col min="10245" max="10245" width="39.85546875" style="274" customWidth="1"/>
    <col min="10246" max="10246" width="44.7109375" style="274" customWidth="1"/>
    <col min="10247" max="10247" width="44.140625" style="274" customWidth="1"/>
    <col min="10248" max="10496" width="9.140625" style="274"/>
    <col min="10497" max="10497" width="130.85546875" style="274" customWidth="1"/>
    <col min="10498" max="10498" width="164.85546875" style="274" customWidth="1"/>
    <col min="10499" max="10499" width="95.140625" style="274" customWidth="1"/>
    <col min="10500" max="10500" width="149.42578125" style="274" customWidth="1"/>
    <col min="10501" max="10501" width="39.85546875" style="274" customWidth="1"/>
    <col min="10502" max="10502" width="44.7109375" style="274" customWidth="1"/>
    <col min="10503" max="10503" width="44.140625" style="274" customWidth="1"/>
    <col min="10504" max="10752" width="9.140625" style="274"/>
    <col min="10753" max="10753" width="130.85546875" style="274" customWidth="1"/>
    <col min="10754" max="10754" width="164.85546875" style="274" customWidth="1"/>
    <col min="10755" max="10755" width="95.140625" style="274" customWidth="1"/>
    <col min="10756" max="10756" width="149.42578125" style="274" customWidth="1"/>
    <col min="10757" max="10757" width="39.85546875" style="274" customWidth="1"/>
    <col min="10758" max="10758" width="44.7109375" style="274" customWidth="1"/>
    <col min="10759" max="10759" width="44.140625" style="274" customWidth="1"/>
    <col min="10760" max="11008" width="9.140625" style="274"/>
    <col min="11009" max="11009" width="130.85546875" style="274" customWidth="1"/>
    <col min="11010" max="11010" width="164.85546875" style="274" customWidth="1"/>
    <col min="11011" max="11011" width="95.140625" style="274" customWidth="1"/>
    <col min="11012" max="11012" width="149.42578125" style="274" customWidth="1"/>
    <col min="11013" max="11013" width="39.85546875" style="274" customWidth="1"/>
    <col min="11014" max="11014" width="44.7109375" style="274" customWidth="1"/>
    <col min="11015" max="11015" width="44.140625" style="274" customWidth="1"/>
    <col min="11016" max="11264" width="9.140625" style="274"/>
    <col min="11265" max="11265" width="130.85546875" style="274" customWidth="1"/>
    <col min="11266" max="11266" width="164.85546875" style="274" customWidth="1"/>
    <col min="11267" max="11267" width="95.140625" style="274" customWidth="1"/>
    <col min="11268" max="11268" width="149.42578125" style="274" customWidth="1"/>
    <col min="11269" max="11269" width="39.85546875" style="274" customWidth="1"/>
    <col min="11270" max="11270" width="44.7109375" style="274" customWidth="1"/>
    <col min="11271" max="11271" width="44.140625" style="274" customWidth="1"/>
    <col min="11272" max="11520" width="9.140625" style="274"/>
    <col min="11521" max="11521" width="130.85546875" style="274" customWidth="1"/>
    <col min="11522" max="11522" width="164.85546875" style="274" customWidth="1"/>
    <col min="11523" max="11523" width="95.140625" style="274" customWidth="1"/>
    <col min="11524" max="11524" width="149.42578125" style="274" customWidth="1"/>
    <col min="11525" max="11525" width="39.85546875" style="274" customWidth="1"/>
    <col min="11526" max="11526" width="44.7109375" style="274" customWidth="1"/>
    <col min="11527" max="11527" width="44.140625" style="274" customWidth="1"/>
    <col min="11528" max="11776" width="9.140625" style="274"/>
    <col min="11777" max="11777" width="130.85546875" style="274" customWidth="1"/>
    <col min="11778" max="11778" width="164.85546875" style="274" customWidth="1"/>
    <col min="11779" max="11779" width="95.140625" style="274" customWidth="1"/>
    <col min="11780" max="11780" width="149.42578125" style="274" customWidth="1"/>
    <col min="11781" max="11781" width="39.85546875" style="274" customWidth="1"/>
    <col min="11782" max="11782" width="44.7109375" style="274" customWidth="1"/>
    <col min="11783" max="11783" width="44.140625" style="274" customWidth="1"/>
    <col min="11784" max="12032" width="9.140625" style="274"/>
    <col min="12033" max="12033" width="130.85546875" style="274" customWidth="1"/>
    <col min="12034" max="12034" width="164.85546875" style="274" customWidth="1"/>
    <col min="12035" max="12035" width="95.140625" style="274" customWidth="1"/>
    <col min="12036" max="12036" width="149.42578125" style="274" customWidth="1"/>
    <col min="12037" max="12037" width="39.85546875" style="274" customWidth="1"/>
    <col min="12038" max="12038" width="44.7109375" style="274" customWidth="1"/>
    <col min="12039" max="12039" width="44.140625" style="274" customWidth="1"/>
    <col min="12040" max="12288" width="9.140625" style="274"/>
    <col min="12289" max="12289" width="130.85546875" style="274" customWidth="1"/>
    <col min="12290" max="12290" width="164.85546875" style="274" customWidth="1"/>
    <col min="12291" max="12291" width="95.140625" style="274" customWidth="1"/>
    <col min="12292" max="12292" width="149.42578125" style="274" customWidth="1"/>
    <col min="12293" max="12293" width="39.85546875" style="274" customWidth="1"/>
    <col min="12294" max="12294" width="44.7109375" style="274" customWidth="1"/>
    <col min="12295" max="12295" width="44.140625" style="274" customWidth="1"/>
    <col min="12296" max="12544" width="9.140625" style="274"/>
    <col min="12545" max="12545" width="130.85546875" style="274" customWidth="1"/>
    <col min="12546" max="12546" width="164.85546875" style="274" customWidth="1"/>
    <col min="12547" max="12547" width="95.140625" style="274" customWidth="1"/>
    <col min="12548" max="12548" width="149.42578125" style="274" customWidth="1"/>
    <col min="12549" max="12549" width="39.85546875" style="274" customWidth="1"/>
    <col min="12550" max="12550" width="44.7109375" style="274" customWidth="1"/>
    <col min="12551" max="12551" width="44.140625" style="274" customWidth="1"/>
    <col min="12552" max="12800" width="9.140625" style="274"/>
    <col min="12801" max="12801" width="130.85546875" style="274" customWidth="1"/>
    <col min="12802" max="12802" width="164.85546875" style="274" customWidth="1"/>
    <col min="12803" max="12803" width="95.140625" style="274" customWidth="1"/>
    <col min="12804" max="12804" width="149.42578125" style="274" customWidth="1"/>
    <col min="12805" max="12805" width="39.85546875" style="274" customWidth="1"/>
    <col min="12806" max="12806" width="44.7109375" style="274" customWidth="1"/>
    <col min="12807" max="12807" width="44.140625" style="274" customWidth="1"/>
    <col min="12808" max="13056" width="9.140625" style="274"/>
    <col min="13057" max="13057" width="130.85546875" style="274" customWidth="1"/>
    <col min="13058" max="13058" width="164.85546875" style="274" customWidth="1"/>
    <col min="13059" max="13059" width="95.140625" style="274" customWidth="1"/>
    <col min="13060" max="13060" width="149.42578125" style="274" customWidth="1"/>
    <col min="13061" max="13061" width="39.85546875" style="274" customWidth="1"/>
    <col min="13062" max="13062" width="44.7109375" style="274" customWidth="1"/>
    <col min="13063" max="13063" width="44.140625" style="274" customWidth="1"/>
    <col min="13064" max="13312" width="9.140625" style="274"/>
    <col min="13313" max="13313" width="130.85546875" style="274" customWidth="1"/>
    <col min="13314" max="13314" width="164.85546875" style="274" customWidth="1"/>
    <col min="13315" max="13315" width="95.140625" style="274" customWidth="1"/>
    <col min="13316" max="13316" width="149.42578125" style="274" customWidth="1"/>
    <col min="13317" max="13317" width="39.85546875" style="274" customWidth="1"/>
    <col min="13318" max="13318" width="44.7109375" style="274" customWidth="1"/>
    <col min="13319" max="13319" width="44.140625" style="274" customWidth="1"/>
    <col min="13320" max="13568" width="9.140625" style="274"/>
    <col min="13569" max="13569" width="130.85546875" style="274" customWidth="1"/>
    <col min="13570" max="13570" width="164.85546875" style="274" customWidth="1"/>
    <col min="13571" max="13571" width="95.140625" style="274" customWidth="1"/>
    <col min="13572" max="13572" width="149.42578125" style="274" customWidth="1"/>
    <col min="13573" max="13573" width="39.85546875" style="274" customWidth="1"/>
    <col min="13574" max="13574" width="44.7109375" style="274" customWidth="1"/>
    <col min="13575" max="13575" width="44.140625" style="274" customWidth="1"/>
    <col min="13576" max="13824" width="9.140625" style="274"/>
    <col min="13825" max="13825" width="130.85546875" style="274" customWidth="1"/>
    <col min="13826" max="13826" width="164.85546875" style="274" customWidth="1"/>
    <col min="13827" max="13827" width="95.140625" style="274" customWidth="1"/>
    <col min="13828" max="13828" width="149.42578125" style="274" customWidth="1"/>
    <col min="13829" max="13829" width="39.85546875" style="274" customWidth="1"/>
    <col min="13830" max="13830" width="44.7109375" style="274" customWidth="1"/>
    <col min="13831" max="13831" width="44.140625" style="274" customWidth="1"/>
    <col min="13832" max="14080" width="9.140625" style="274"/>
    <col min="14081" max="14081" width="130.85546875" style="274" customWidth="1"/>
    <col min="14082" max="14082" width="164.85546875" style="274" customWidth="1"/>
    <col min="14083" max="14083" width="95.140625" style="274" customWidth="1"/>
    <col min="14084" max="14084" width="149.42578125" style="274" customWidth="1"/>
    <col min="14085" max="14085" width="39.85546875" style="274" customWidth="1"/>
    <col min="14086" max="14086" width="44.7109375" style="274" customWidth="1"/>
    <col min="14087" max="14087" width="44.140625" style="274" customWidth="1"/>
    <col min="14088" max="14336" width="9.140625" style="274"/>
    <col min="14337" max="14337" width="130.85546875" style="274" customWidth="1"/>
    <col min="14338" max="14338" width="164.85546875" style="274" customWidth="1"/>
    <col min="14339" max="14339" width="95.140625" style="274" customWidth="1"/>
    <col min="14340" max="14340" width="149.42578125" style="274" customWidth="1"/>
    <col min="14341" max="14341" width="39.85546875" style="274" customWidth="1"/>
    <col min="14342" max="14342" width="44.7109375" style="274" customWidth="1"/>
    <col min="14343" max="14343" width="44.140625" style="274" customWidth="1"/>
    <col min="14344" max="14592" width="9.140625" style="274"/>
    <col min="14593" max="14593" width="130.85546875" style="274" customWidth="1"/>
    <col min="14594" max="14594" width="164.85546875" style="274" customWidth="1"/>
    <col min="14595" max="14595" width="95.140625" style="274" customWidth="1"/>
    <col min="14596" max="14596" width="149.42578125" style="274" customWidth="1"/>
    <col min="14597" max="14597" width="39.85546875" style="274" customWidth="1"/>
    <col min="14598" max="14598" width="44.7109375" style="274" customWidth="1"/>
    <col min="14599" max="14599" width="44.140625" style="274" customWidth="1"/>
    <col min="14600" max="14848" width="9.140625" style="274"/>
    <col min="14849" max="14849" width="130.85546875" style="274" customWidth="1"/>
    <col min="14850" max="14850" width="164.85546875" style="274" customWidth="1"/>
    <col min="14851" max="14851" width="95.140625" style="274" customWidth="1"/>
    <col min="14852" max="14852" width="149.42578125" style="274" customWidth="1"/>
    <col min="14853" max="14853" width="39.85546875" style="274" customWidth="1"/>
    <col min="14854" max="14854" width="44.7109375" style="274" customWidth="1"/>
    <col min="14855" max="14855" width="44.140625" style="274" customWidth="1"/>
    <col min="14856" max="15104" width="9.140625" style="274"/>
    <col min="15105" max="15105" width="130.85546875" style="274" customWidth="1"/>
    <col min="15106" max="15106" width="164.85546875" style="274" customWidth="1"/>
    <col min="15107" max="15107" width="95.140625" style="274" customWidth="1"/>
    <col min="15108" max="15108" width="149.42578125" style="274" customWidth="1"/>
    <col min="15109" max="15109" width="39.85546875" style="274" customWidth="1"/>
    <col min="15110" max="15110" width="44.7109375" style="274" customWidth="1"/>
    <col min="15111" max="15111" width="44.140625" style="274" customWidth="1"/>
    <col min="15112" max="15360" width="9.140625" style="274"/>
    <col min="15361" max="15361" width="130.85546875" style="274" customWidth="1"/>
    <col min="15362" max="15362" width="164.85546875" style="274" customWidth="1"/>
    <col min="15363" max="15363" width="95.140625" style="274" customWidth="1"/>
    <col min="15364" max="15364" width="149.42578125" style="274" customWidth="1"/>
    <col min="15365" max="15365" width="39.85546875" style="274" customWidth="1"/>
    <col min="15366" max="15366" width="44.7109375" style="274" customWidth="1"/>
    <col min="15367" max="15367" width="44.140625" style="274" customWidth="1"/>
    <col min="15368" max="15616" width="9.140625" style="274"/>
    <col min="15617" max="15617" width="130.85546875" style="274" customWidth="1"/>
    <col min="15618" max="15618" width="164.85546875" style="274" customWidth="1"/>
    <col min="15619" max="15619" width="95.140625" style="274" customWidth="1"/>
    <col min="15620" max="15620" width="149.42578125" style="274" customWidth="1"/>
    <col min="15621" max="15621" width="39.85546875" style="274" customWidth="1"/>
    <col min="15622" max="15622" width="44.7109375" style="274" customWidth="1"/>
    <col min="15623" max="15623" width="44.140625" style="274" customWidth="1"/>
    <col min="15624" max="15872" width="9.140625" style="274"/>
    <col min="15873" max="15873" width="130.85546875" style="274" customWidth="1"/>
    <col min="15874" max="15874" width="164.85546875" style="274" customWidth="1"/>
    <col min="15875" max="15875" width="95.140625" style="274" customWidth="1"/>
    <col min="15876" max="15876" width="149.42578125" style="274" customWidth="1"/>
    <col min="15877" max="15877" width="39.85546875" style="274" customWidth="1"/>
    <col min="15878" max="15878" width="44.7109375" style="274" customWidth="1"/>
    <col min="15879" max="15879" width="44.140625" style="274" customWidth="1"/>
    <col min="15880" max="16128" width="9.140625" style="274"/>
    <col min="16129" max="16129" width="130.85546875" style="274" customWidth="1"/>
    <col min="16130" max="16130" width="164.85546875" style="274" customWidth="1"/>
    <col min="16131" max="16131" width="95.140625" style="274" customWidth="1"/>
    <col min="16132" max="16132" width="149.42578125" style="274" customWidth="1"/>
    <col min="16133" max="16133" width="39.85546875" style="274" customWidth="1"/>
    <col min="16134" max="16134" width="44.7109375" style="274" customWidth="1"/>
    <col min="16135" max="16135" width="44.140625" style="274" customWidth="1"/>
    <col min="16136" max="16384" width="9.140625" style="274"/>
  </cols>
  <sheetData>
    <row r="1" spans="1:11" x14ac:dyDescent="0.2">
      <c r="A1" s="3403"/>
      <c r="B1" s="3403"/>
      <c r="C1" s="3403"/>
      <c r="D1" s="3403"/>
      <c r="E1" s="3403"/>
      <c r="F1" s="3403"/>
      <c r="G1" s="3403"/>
    </row>
    <row r="2" spans="1:11" x14ac:dyDescent="0.2">
      <c r="A2" s="3403"/>
      <c r="B2" s="3403"/>
      <c r="C2" s="3403"/>
      <c r="D2" s="3403"/>
      <c r="E2" s="3403"/>
      <c r="F2" s="3403"/>
      <c r="G2" s="3403"/>
    </row>
    <row r="3" spans="1:11" x14ac:dyDescent="0.2">
      <c r="A3" s="3403"/>
      <c r="B3" s="3403"/>
      <c r="C3" s="3403"/>
      <c r="D3" s="3403"/>
      <c r="E3" s="3403"/>
      <c r="F3" s="3403"/>
      <c r="G3" s="3403"/>
    </row>
    <row r="4" spans="1:11" x14ac:dyDescent="0.2">
      <c r="A4" s="3403"/>
      <c r="B4" s="3403"/>
      <c r="C4" s="3403"/>
      <c r="D4" s="3403"/>
      <c r="E4" s="3403"/>
      <c r="F4" s="3403"/>
      <c r="G4" s="3403"/>
    </row>
    <row r="5" spans="1:11" x14ac:dyDescent="0.2">
      <c r="A5" s="3403"/>
      <c r="B5" s="3403"/>
      <c r="C5" s="3403"/>
      <c r="D5" s="3403"/>
      <c r="E5" s="3403"/>
      <c r="F5" s="3403"/>
      <c r="G5" s="3403"/>
    </row>
    <row r="6" spans="1:11" x14ac:dyDescent="0.2">
      <c r="A6" s="3403"/>
      <c r="B6" s="3403"/>
      <c r="C6" s="3403"/>
      <c r="D6" s="3403"/>
      <c r="E6" s="3403"/>
      <c r="F6" s="3403"/>
      <c r="G6" s="3403"/>
    </row>
    <row r="7" spans="1:11" x14ac:dyDescent="0.2">
      <c r="A7" s="3403"/>
      <c r="B7" s="3403"/>
      <c r="C7" s="3403"/>
      <c r="D7" s="3403"/>
      <c r="E7" s="3403"/>
      <c r="F7" s="3403"/>
      <c r="G7" s="3403"/>
    </row>
    <row r="8" spans="1:11" ht="222.75" customHeight="1" thickBot="1" x14ac:dyDescent="0.25">
      <c r="A8" s="3404"/>
      <c r="B8" s="3404"/>
      <c r="C8" s="3404"/>
      <c r="D8" s="3404"/>
      <c r="E8" s="3404"/>
      <c r="F8" s="3404"/>
      <c r="G8" s="3404"/>
    </row>
    <row r="9" spans="1:11" s="292" customFormat="1" ht="75.75" customHeight="1" x14ac:dyDescent="0.45">
      <c r="A9" s="3405" t="s">
        <v>713</v>
      </c>
      <c r="B9" s="3405"/>
      <c r="C9" s="3405"/>
      <c r="D9" s="3405"/>
      <c r="E9" s="3405"/>
      <c r="F9" s="3405"/>
    </row>
    <row r="10" spans="1:11" s="292" customFormat="1" ht="49.5" x14ac:dyDescent="0.65">
      <c r="A10" s="310"/>
      <c r="B10" s="311"/>
      <c r="E10" s="312"/>
      <c r="F10" s="282"/>
      <c r="G10" s="313" t="s">
        <v>2510</v>
      </c>
    </row>
    <row r="11" spans="1:11" s="292" customFormat="1" ht="163.5" customHeight="1" x14ac:dyDescent="0.45">
      <c r="A11" s="314" t="s">
        <v>702</v>
      </c>
      <c r="B11" s="314" t="s">
        <v>399</v>
      </c>
      <c r="C11" s="3406" t="s">
        <v>703</v>
      </c>
      <c r="D11" s="3407"/>
      <c r="E11" s="315" t="s">
        <v>714</v>
      </c>
      <c r="F11" s="315" t="s">
        <v>1657</v>
      </c>
      <c r="G11" s="315" t="s">
        <v>1658</v>
      </c>
    </row>
    <row r="12" spans="1:11" s="287" customFormat="1" ht="300.75" customHeight="1" x14ac:dyDescent="0.45">
      <c r="A12" s="286"/>
      <c r="B12" s="316" t="s">
        <v>715</v>
      </c>
      <c r="C12" s="3426" t="s">
        <v>2502</v>
      </c>
      <c r="D12" s="3427"/>
      <c r="E12" s="317">
        <v>5.58</v>
      </c>
      <c r="F12" s="318">
        <f>ROUND(1500*(1-B50),2)</f>
        <v>1500</v>
      </c>
      <c r="G12" s="318">
        <f>ROUND(1725*(1-B50),2)</f>
        <v>1725</v>
      </c>
    </row>
    <row r="13" spans="1:11" s="287" customFormat="1" ht="387" customHeight="1" x14ac:dyDescent="0.45">
      <c r="A13" s="3421"/>
      <c r="B13" s="3433" t="s">
        <v>716</v>
      </c>
      <c r="C13" s="3445" t="s">
        <v>717</v>
      </c>
      <c r="D13" s="3446"/>
      <c r="E13" s="3435">
        <v>6.03</v>
      </c>
      <c r="F13" s="3437">
        <f>ROUND(2004*(1-B50),2)</f>
        <v>2004</v>
      </c>
      <c r="G13" s="3437">
        <f>ROUND(2308*(1-B50),2)</f>
        <v>2308</v>
      </c>
    </row>
    <row r="14" spans="1:11" s="287" customFormat="1" ht="57" customHeight="1" x14ac:dyDescent="0.45">
      <c r="A14" s="3423"/>
      <c r="B14" s="3434"/>
      <c r="C14" s="3447"/>
      <c r="D14" s="3448"/>
      <c r="E14" s="3436"/>
      <c r="F14" s="3438"/>
      <c r="G14" s="3438"/>
    </row>
    <row r="15" spans="1:11" s="287" customFormat="1" ht="300.75" customHeight="1" x14ac:dyDescent="0.45">
      <c r="A15" s="286"/>
      <c r="B15" s="316" t="s">
        <v>718</v>
      </c>
      <c r="C15" s="3426" t="s">
        <v>3172</v>
      </c>
      <c r="D15" s="3427"/>
      <c r="E15" s="317">
        <v>2.4500000000000002</v>
      </c>
      <c r="F15" s="318">
        <f>ROUND(815*(1-B50),2)</f>
        <v>815</v>
      </c>
      <c r="G15" s="318">
        <f>ROUND(935*(1-B50),2)</f>
        <v>935</v>
      </c>
      <c r="J15" s="3443"/>
      <c r="K15" s="3444"/>
    </row>
    <row r="16" spans="1:11" s="287" customFormat="1" ht="409.6" customHeight="1" x14ac:dyDescent="0.45">
      <c r="A16" s="286"/>
      <c r="B16" s="316" t="s">
        <v>719</v>
      </c>
      <c r="C16" s="3426" t="s">
        <v>3173</v>
      </c>
      <c r="D16" s="3427"/>
      <c r="E16" s="317">
        <v>2.75</v>
      </c>
      <c r="F16" s="318">
        <f>ROUND(1150*(1-B50),2)</f>
        <v>1150</v>
      </c>
      <c r="G16" s="318">
        <f>ROUND(1322*(1-B50),2)</f>
        <v>1322</v>
      </c>
    </row>
    <row r="17" spans="1:7" s="287" customFormat="1" ht="171.75" customHeight="1" x14ac:dyDescent="0.45">
      <c r="A17" s="286"/>
      <c r="B17" s="316" t="s">
        <v>2508</v>
      </c>
      <c r="C17" s="3426" t="s">
        <v>2509</v>
      </c>
      <c r="D17" s="3430"/>
      <c r="E17" s="317"/>
      <c r="F17" s="3431">
        <f>ROUND(55*(1-B50),2)</f>
        <v>55</v>
      </c>
      <c r="G17" s="3432"/>
    </row>
    <row r="18" spans="1:7" s="287" customFormat="1" ht="182.25" customHeight="1" x14ac:dyDescent="0.45">
      <c r="A18" s="286"/>
      <c r="B18" s="316" t="s">
        <v>720</v>
      </c>
      <c r="C18" s="3426" t="s">
        <v>2503</v>
      </c>
      <c r="D18" s="3427"/>
      <c r="E18" s="317">
        <v>0.55000000000000004</v>
      </c>
      <c r="F18" s="318">
        <f>ROUND(243*(1-B50),2)</f>
        <v>243</v>
      </c>
      <c r="G18" s="318">
        <f>ROUND(280*(1-B50),2)</f>
        <v>280</v>
      </c>
    </row>
    <row r="19" spans="1:7" s="287" customFormat="1" ht="103.5" customHeight="1" x14ac:dyDescent="0.45">
      <c r="A19" s="286"/>
      <c r="B19" s="316" t="s">
        <v>721</v>
      </c>
      <c r="C19" s="3426" t="s">
        <v>722</v>
      </c>
      <c r="D19" s="3427"/>
      <c r="E19" s="317"/>
      <c r="F19" s="3428">
        <f>ROUND(40*(1-B50),2)</f>
        <v>40</v>
      </c>
      <c r="G19" s="3429"/>
    </row>
    <row r="20" spans="1:7" s="287" customFormat="1" ht="169.5" customHeight="1" x14ac:dyDescent="0.45">
      <c r="A20" s="3421"/>
      <c r="B20" s="3433" t="s">
        <v>723</v>
      </c>
      <c r="C20" s="3441" t="s">
        <v>3149</v>
      </c>
      <c r="D20" s="3439" t="s">
        <v>3150</v>
      </c>
      <c r="E20" s="3435">
        <v>9.0399999999999991</v>
      </c>
      <c r="F20" s="3437">
        <f>ROUND(2800*(1-C50),2)</f>
        <v>2800</v>
      </c>
      <c r="G20" s="3437">
        <f>ROUND(3220*(1-C50),2)</f>
        <v>3220</v>
      </c>
    </row>
    <row r="21" spans="1:7" s="287" customFormat="1" ht="132" customHeight="1" x14ac:dyDescent="0.45">
      <c r="A21" s="3423"/>
      <c r="B21" s="3434"/>
      <c r="C21" s="3442"/>
      <c r="D21" s="3440"/>
      <c r="E21" s="3436"/>
      <c r="F21" s="3438"/>
      <c r="G21" s="3438"/>
    </row>
    <row r="22" spans="1:7" s="287" customFormat="1" ht="278.25" customHeight="1" x14ac:dyDescent="0.45">
      <c r="A22" s="286"/>
      <c r="B22" s="316" t="s">
        <v>3151</v>
      </c>
      <c r="C22" s="2100" t="s">
        <v>3155</v>
      </c>
      <c r="D22" s="2101" t="s">
        <v>3156</v>
      </c>
      <c r="E22" s="2102">
        <v>6.42</v>
      </c>
      <c r="F22" s="318">
        <f>ROUND(2045*(1-B43),2)</f>
        <v>2045</v>
      </c>
      <c r="G22" s="318">
        <f>ROUND(2350*(1-B43),2)</f>
        <v>2350</v>
      </c>
    </row>
    <row r="23" spans="1:7" s="287" customFormat="1" ht="293.25" customHeight="1" x14ac:dyDescent="0.45">
      <c r="A23" s="286"/>
      <c r="B23" s="316" t="s">
        <v>3152</v>
      </c>
      <c r="C23" s="2100" t="s">
        <v>3157</v>
      </c>
      <c r="D23" s="2101" t="s">
        <v>3158</v>
      </c>
      <c r="E23" s="2102">
        <v>7.32</v>
      </c>
      <c r="F23" s="318">
        <f>ROUND(2819*(1-C50),2)</f>
        <v>2819</v>
      </c>
      <c r="G23" s="318">
        <f>ROUND(3101*(1-B43),2)</f>
        <v>3101</v>
      </c>
    </row>
    <row r="24" spans="1:7" s="287" customFormat="1" ht="244.5" customHeight="1" x14ac:dyDescent="0.45">
      <c r="A24" s="286"/>
      <c r="B24" s="316" t="s">
        <v>3153</v>
      </c>
      <c r="C24" s="2100" t="s">
        <v>3159</v>
      </c>
      <c r="D24" s="2101" t="s">
        <v>3160</v>
      </c>
      <c r="E24" s="2102">
        <v>9.0399999999999991</v>
      </c>
      <c r="F24" s="318">
        <f>ROUND(2617*(1-C50),2)</f>
        <v>2617</v>
      </c>
      <c r="G24" s="318">
        <f>ROUND(3010*(1-C50),2)</f>
        <v>3010</v>
      </c>
    </row>
    <row r="25" spans="1:7" s="287" customFormat="1" ht="297" customHeight="1" x14ac:dyDescent="0.45">
      <c r="A25" s="2103"/>
      <c r="B25" s="316" t="s">
        <v>3154</v>
      </c>
      <c r="C25" s="2100" t="s">
        <v>3161</v>
      </c>
      <c r="D25" s="2101" t="s">
        <v>3162</v>
      </c>
      <c r="E25" s="2102">
        <v>9.94</v>
      </c>
      <c r="F25" s="318">
        <f>ROUND(3390*(1-C50),2)</f>
        <v>3390</v>
      </c>
      <c r="G25" s="318">
        <f>ROUND(3729*(1-C50),2)</f>
        <v>3729</v>
      </c>
    </row>
    <row r="26" spans="1:7" s="287" customFormat="1" ht="217.5" customHeight="1" x14ac:dyDescent="0.45">
      <c r="A26" s="3425"/>
      <c r="B26" s="316" t="s">
        <v>2898</v>
      </c>
      <c r="C26" s="2104" t="s">
        <v>3163</v>
      </c>
      <c r="D26" s="2105" t="s">
        <v>3164</v>
      </c>
      <c r="E26" s="317">
        <v>8.6999999999999993</v>
      </c>
      <c r="F26" s="3408">
        <f>ROUND(2400*(1-D50),2)</f>
        <v>2400</v>
      </c>
      <c r="G26" s="3409"/>
    </row>
    <row r="27" spans="1:7" s="287" customFormat="1" ht="222" customHeight="1" x14ac:dyDescent="0.45">
      <c r="A27" s="3425"/>
      <c r="B27" s="319" t="s">
        <v>2209</v>
      </c>
      <c r="C27" s="2104" t="s">
        <v>3165</v>
      </c>
      <c r="D27" s="2105" t="s">
        <v>3166</v>
      </c>
      <c r="E27" s="317">
        <v>14.2</v>
      </c>
      <c r="F27" s="3408">
        <f>ROUND(5000*(1-D50),2)</f>
        <v>5000</v>
      </c>
      <c r="G27" s="3409"/>
    </row>
    <row r="28" spans="1:7" s="287" customFormat="1" ht="205.5" customHeight="1" x14ac:dyDescent="0.45">
      <c r="A28" s="3421"/>
      <c r="B28" s="316" t="s">
        <v>2899</v>
      </c>
      <c r="C28" s="2104" t="s">
        <v>3167</v>
      </c>
      <c r="D28" s="2105" t="s">
        <v>3168</v>
      </c>
      <c r="E28" s="317">
        <v>8.3000000000000007</v>
      </c>
      <c r="F28" s="3408">
        <f>ROUND(2900*(1-D50),2)</f>
        <v>2900</v>
      </c>
      <c r="G28" s="3409"/>
    </row>
    <row r="29" spans="1:7" s="287" customFormat="1" ht="214.5" customHeight="1" x14ac:dyDescent="0.45">
      <c r="A29" s="3423"/>
      <c r="B29" s="316" t="s">
        <v>2210</v>
      </c>
      <c r="C29" s="2104" t="s">
        <v>3169</v>
      </c>
      <c r="D29" s="2105" t="s">
        <v>3170</v>
      </c>
      <c r="E29" s="317">
        <v>13.6</v>
      </c>
      <c r="F29" s="3408">
        <f>ROUND(6050*(1-D50),2)</f>
        <v>6050</v>
      </c>
      <c r="G29" s="3409"/>
    </row>
    <row r="30" spans="1:7" s="287" customFormat="1" ht="248.25" customHeight="1" x14ac:dyDescent="0.45">
      <c r="A30" s="3421"/>
      <c r="B30" s="320" t="s">
        <v>724</v>
      </c>
      <c r="C30" s="3410" t="s">
        <v>725</v>
      </c>
      <c r="D30" s="3411"/>
      <c r="E30" s="317">
        <v>7.59</v>
      </c>
      <c r="F30" s="321">
        <f>ROUND(2700*(1-E50),2)</f>
        <v>2700</v>
      </c>
      <c r="G30" s="321">
        <f>ROUND(3100*(1-E50),2)</f>
        <v>3100</v>
      </c>
    </row>
    <row r="31" spans="1:7" s="287" customFormat="1" ht="248.25" customHeight="1" x14ac:dyDescent="0.45">
      <c r="A31" s="3422"/>
      <c r="B31" s="320" t="s">
        <v>726</v>
      </c>
      <c r="C31" s="3410" t="s">
        <v>727</v>
      </c>
      <c r="D31" s="3411"/>
      <c r="E31" s="317">
        <v>1.75</v>
      </c>
      <c r="F31" s="321">
        <f>ROUND(500*(1-E50),2)</f>
        <v>500</v>
      </c>
      <c r="G31" s="321">
        <f>ROUND(575*(1-E50),2)</f>
        <v>575</v>
      </c>
    </row>
    <row r="32" spans="1:7" s="287" customFormat="1" ht="147" customHeight="1" x14ac:dyDescent="0.45">
      <c r="A32" s="3422"/>
      <c r="B32" s="320" t="s">
        <v>728</v>
      </c>
      <c r="C32" s="3410" t="s">
        <v>729</v>
      </c>
      <c r="D32" s="3411"/>
      <c r="E32" s="317">
        <v>0.16</v>
      </c>
      <c r="F32" s="321">
        <f>ROUND(200*(1-E50),2)</f>
        <v>200</v>
      </c>
      <c r="G32" s="321">
        <f>ROUND(230*(1-E50),2)</f>
        <v>230</v>
      </c>
    </row>
    <row r="33" spans="1:7" s="287" customFormat="1" ht="192" customHeight="1" x14ac:dyDescent="0.45">
      <c r="A33" s="3422"/>
      <c r="B33" s="320" t="s">
        <v>730</v>
      </c>
      <c r="C33" s="3410" t="s">
        <v>731</v>
      </c>
      <c r="D33" s="3411"/>
      <c r="E33" s="317">
        <v>0.56000000000000005</v>
      </c>
      <c r="F33" s="321">
        <f>ROUND(200*(1-E50),2)</f>
        <v>200</v>
      </c>
      <c r="G33" s="321">
        <f>ROUND(230*(1-E50),2)</f>
        <v>230</v>
      </c>
    </row>
    <row r="34" spans="1:7" s="287" customFormat="1" ht="200.25" customHeight="1" x14ac:dyDescent="0.45">
      <c r="A34" s="3422"/>
      <c r="B34" s="320" t="s">
        <v>732</v>
      </c>
      <c r="C34" s="3410" t="s">
        <v>733</v>
      </c>
      <c r="D34" s="3411"/>
      <c r="E34" s="317">
        <v>0.36</v>
      </c>
      <c r="F34" s="321">
        <f>ROUND(200*(1-E50),2)</f>
        <v>200</v>
      </c>
      <c r="G34" s="321">
        <f>ROUND(230*(1-E50),2)</f>
        <v>230</v>
      </c>
    </row>
    <row r="35" spans="1:7" s="287" customFormat="1" ht="247.5" x14ac:dyDescent="0.45">
      <c r="A35" s="3423"/>
      <c r="B35" s="320" t="s">
        <v>734</v>
      </c>
      <c r="C35" s="322" t="s">
        <v>735</v>
      </c>
      <c r="D35" s="323"/>
      <c r="E35" s="317">
        <v>2.84</v>
      </c>
      <c r="F35" s="321">
        <f>ROUND(850*(1-E50),2)</f>
        <v>850</v>
      </c>
      <c r="G35" s="321">
        <f>ROUND(970*(1-E50),2)</f>
        <v>970</v>
      </c>
    </row>
    <row r="36" spans="1:7" s="292" customFormat="1" ht="289.5" customHeight="1" x14ac:dyDescent="0.45">
      <c r="A36" s="324"/>
      <c r="B36" s="3412" t="s">
        <v>736</v>
      </c>
      <c r="C36" s="3413"/>
      <c r="D36" s="3414"/>
      <c r="E36" s="325">
        <v>13.2</v>
      </c>
      <c r="F36" s="326">
        <f>ROUND(4640*(1-E50),2)</f>
        <v>4640</v>
      </c>
      <c r="G36" s="318">
        <f>ROUND(5336*(1-E50),2)</f>
        <v>5336</v>
      </c>
    </row>
    <row r="37" spans="1:7" s="292" customFormat="1" ht="45" x14ac:dyDescent="0.6">
      <c r="A37" s="332" t="s">
        <v>741</v>
      </c>
      <c r="B37" s="327"/>
      <c r="C37" s="327"/>
      <c r="D37" s="327"/>
      <c r="E37" s="328"/>
      <c r="F37" s="329"/>
      <c r="G37" s="329"/>
    </row>
    <row r="38" spans="1:7" s="292" customFormat="1" ht="45" x14ac:dyDescent="0.6">
      <c r="A38" s="332" t="s">
        <v>742</v>
      </c>
      <c r="E38" s="312"/>
      <c r="F38" s="330"/>
      <c r="G38" s="330"/>
    </row>
    <row r="39" spans="1:7" s="292" customFormat="1" ht="33" x14ac:dyDescent="0.45">
      <c r="E39" s="312"/>
      <c r="F39" s="330"/>
      <c r="G39" s="330"/>
    </row>
    <row r="40" spans="1:7" s="292" customFormat="1" ht="45" x14ac:dyDescent="0.6">
      <c r="A40" s="294" t="s">
        <v>1659</v>
      </c>
      <c r="E40" s="312"/>
      <c r="F40" s="330"/>
      <c r="G40" s="330"/>
    </row>
    <row r="41" spans="1:7" s="292" customFormat="1" ht="45" x14ac:dyDescent="0.6">
      <c r="A41" s="294" t="s">
        <v>3216</v>
      </c>
      <c r="E41" s="312"/>
      <c r="F41" s="330"/>
      <c r="G41" s="330"/>
    </row>
    <row r="42" spans="1:7" s="292" customFormat="1" ht="45" x14ac:dyDescent="0.6">
      <c r="A42" s="294" t="s">
        <v>737</v>
      </c>
      <c r="E42" s="312"/>
      <c r="F42" s="330"/>
      <c r="G42" s="330"/>
    </row>
    <row r="43" spans="1:7" s="292" customFormat="1" ht="45" x14ac:dyDescent="0.45">
      <c r="A43" s="331" t="s">
        <v>738</v>
      </c>
      <c r="E43" s="312"/>
      <c r="F43" s="330"/>
      <c r="G43" s="330"/>
    </row>
    <row r="44" spans="1:7" s="292" customFormat="1" ht="45" x14ac:dyDescent="0.6">
      <c r="A44" s="332" t="s">
        <v>739</v>
      </c>
      <c r="E44" s="312"/>
      <c r="F44" s="330"/>
      <c r="G44" s="330"/>
    </row>
    <row r="45" spans="1:7" s="292" customFormat="1" ht="44.25" x14ac:dyDescent="0.45">
      <c r="A45" s="291" t="s">
        <v>740</v>
      </c>
      <c r="E45" s="312"/>
      <c r="F45" s="330"/>
      <c r="G45" s="330"/>
    </row>
    <row r="46" spans="1:7" s="292" customFormat="1" ht="44.25" x14ac:dyDescent="0.55000000000000004">
      <c r="A46" s="297" t="s">
        <v>2260</v>
      </c>
      <c r="B46" s="333"/>
      <c r="E46" s="312"/>
      <c r="F46" s="330"/>
      <c r="G46" s="330"/>
    </row>
    <row r="47" spans="1:7" s="292" customFormat="1" ht="44.25" x14ac:dyDescent="0.45">
      <c r="A47" s="291"/>
      <c r="D47" s="334"/>
      <c r="E47" s="335"/>
      <c r="F47" s="334"/>
      <c r="G47" s="334"/>
    </row>
    <row r="48" spans="1:7" s="292" customFormat="1" ht="56.25" customHeight="1" x14ac:dyDescent="0.45">
      <c r="B48" s="334"/>
      <c r="C48" s="334"/>
      <c r="D48" s="334"/>
      <c r="E48" s="335"/>
    </row>
    <row r="49" spans="1:7" s="292" customFormat="1" ht="96.75" customHeight="1" x14ac:dyDescent="0.45">
      <c r="A49" s="3415" t="s">
        <v>66</v>
      </c>
      <c r="B49" s="977" t="s">
        <v>1765</v>
      </c>
      <c r="C49" s="979" t="s">
        <v>1766</v>
      </c>
      <c r="D49" s="978" t="s">
        <v>743</v>
      </c>
      <c r="E49" s="3416" t="s">
        <v>744</v>
      </c>
      <c r="F49" s="3416"/>
    </row>
    <row r="50" spans="1:7" s="292" customFormat="1" ht="23.25" customHeight="1" x14ac:dyDescent="0.45">
      <c r="A50" s="3415"/>
      <c r="B50" s="3424">
        <v>0</v>
      </c>
      <c r="C50" s="3424">
        <v>0</v>
      </c>
      <c r="D50" s="3417">
        <v>0</v>
      </c>
      <c r="E50" s="3419">
        <v>0</v>
      </c>
      <c r="F50" s="3420"/>
    </row>
    <row r="51" spans="1:7" s="292" customFormat="1" ht="20.25" customHeight="1" x14ac:dyDescent="0.45">
      <c r="A51" s="3415"/>
      <c r="B51" s="3424"/>
      <c r="C51" s="3424"/>
      <c r="D51" s="3418"/>
      <c r="E51" s="3420"/>
      <c r="F51" s="3420"/>
    </row>
    <row r="52" spans="1:7" s="292" customFormat="1" ht="30" customHeight="1" x14ac:dyDescent="0.45">
      <c r="A52" s="3415"/>
      <c r="B52" s="3424"/>
      <c r="C52" s="3424"/>
      <c r="D52" s="3418"/>
      <c r="E52" s="3420"/>
      <c r="F52" s="3420"/>
    </row>
    <row r="53" spans="1:7" ht="33" customHeight="1" x14ac:dyDescent="0.45">
      <c r="A53" s="3415"/>
      <c r="B53" s="3424"/>
      <c r="C53" s="3424"/>
      <c r="D53" s="3418"/>
      <c r="E53" s="3420"/>
      <c r="F53" s="3420"/>
      <c r="G53" s="292"/>
    </row>
    <row r="54" spans="1:7" ht="27" x14ac:dyDescent="0.2">
      <c r="B54" s="336"/>
    </row>
    <row r="86" spans="4:5" ht="30" x14ac:dyDescent="0.4">
      <c r="D86" s="338"/>
      <c r="E86" s="339"/>
    </row>
  </sheetData>
  <mergeCells count="44">
    <mergeCell ref="A9:F9"/>
    <mergeCell ref="C11:D11"/>
    <mergeCell ref="C12:D12"/>
    <mergeCell ref="A13:A14"/>
    <mergeCell ref="B13:B14"/>
    <mergeCell ref="C13:D14"/>
    <mergeCell ref="E13:E14"/>
    <mergeCell ref="F13:F14"/>
    <mergeCell ref="C20:C21"/>
    <mergeCell ref="G20:G21"/>
    <mergeCell ref="G13:G14"/>
    <mergeCell ref="C15:D15"/>
    <mergeCell ref="J15:K15"/>
    <mergeCell ref="C16:D16"/>
    <mergeCell ref="C18:D18"/>
    <mergeCell ref="F26:G26"/>
    <mergeCell ref="F27:G27"/>
    <mergeCell ref="F28:G28"/>
    <mergeCell ref="F29:G29"/>
    <mergeCell ref="A1:G8"/>
    <mergeCell ref="A26:A27"/>
    <mergeCell ref="A28:A29"/>
    <mergeCell ref="C19:D19"/>
    <mergeCell ref="F19:G19"/>
    <mergeCell ref="C17:D17"/>
    <mergeCell ref="F17:G17"/>
    <mergeCell ref="A20:A21"/>
    <mergeCell ref="B20:B21"/>
    <mergeCell ref="E20:E21"/>
    <mergeCell ref="F20:F21"/>
    <mergeCell ref="D20:D21"/>
    <mergeCell ref="C34:D34"/>
    <mergeCell ref="B36:D36"/>
    <mergeCell ref="A49:A53"/>
    <mergeCell ref="E49:F49"/>
    <mergeCell ref="D50:D53"/>
    <mergeCell ref="E50:F53"/>
    <mergeCell ref="A30:A35"/>
    <mergeCell ref="C30:D30"/>
    <mergeCell ref="C31:D31"/>
    <mergeCell ref="C32:D32"/>
    <mergeCell ref="C33:D33"/>
    <mergeCell ref="B50:B53"/>
    <mergeCell ref="C50:C53"/>
  </mergeCells>
  <printOptions horizontalCentered="1"/>
  <pageMargins left="0" right="0" top="0" bottom="0" header="0" footer="0"/>
  <pageSetup paperSize="9" scale="11" fitToHeight="4" orientation="portrait" r:id="rId1"/>
  <headerFooter alignWithMargins="0">
    <oddFooter>&amp;R&amp;28Стр. &amp;P из  &amp;N
&amp;A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9"/>
  <dimension ref="A1:K59"/>
  <sheetViews>
    <sheetView topLeftCell="A22" zoomScale="40" zoomScaleNormal="40" zoomScaleSheetLayoutView="40" zoomScalePageLayoutView="55" workbookViewId="0">
      <selection sqref="A1:C2"/>
    </sheetView>
  </sheetViews>
  <sheetFormatPr defaultColWidth="25.28515625" defaultRowHeight="11.25" x14ac:dyDescent="0.2"/>
  <cols>
    <col min="1" max="1" width="33.140625" style="341" customWidth="1"/>
    <col min="2" max="2" width="80.28515625" style="341" customWidth="1"/>
    <col min="3" max="3" width="23.140625" style="341" customWidth="1"/>
    <col min="4" max="4" width="43.42578125" style="341" customWidth="1"/>
    <col min="5" max="5" width="44.42578125" style="341" customWidth="1"/>
    <col min="6" max="6" width="43.85546875" style="341" customWidth="1"/>
    <col min="7" max="7" width="35.85546875" style="341" customWidth="1"/>
    <col min="8" max="8" width="39.7109375" style="341" customWidth="1"/>
    <col min="9" max="16384" width="25.28515625" style="341"/>
  </cols>
  <sheetData>
    <row r="1" spans="1:9" x14ac:dyDescent="0.2">
      <c r="A1" s="3450"/>
      <c r="B1" s="3450"/>
      <c r="C1" s="3450"/>
      <c r="D1" s="3450"/>
      <c r="E1" s="3450"/>
      <c r="F1" s="3450"/>
      <c r="G1" s="3450"/>
      <c r="H1" s="3450"/>
    </row>
    <row r="2" spans="1:9" x14ac:dyDescent="0.2">
      <c r="A2" s="3450"/>
      <c r="B2" s="3450"/>
      <c r="C2" s="3450"/>
      <c r="D2" s="3450"/>
      <c r="E2" s="3450"/>
      <c r="F2" s="3450"/>
      <c r="G2" s="3450"/>
      <c r="H2" s="3450"/>
    </row>
    <row r="3" spans="1:9" x14ac:dyDescent="0.2">
      <c r="A3" s="3450"/>
      <c r="B3" s="3450"/>
      <c r="C3" s="3450"/>
      <c r="D3" s="3450"/>
      <c r="E3" s="3450"/>
      <c r="F3" s="3450"/>
      <c r="G3" s="3450"/>
      <c r="H3" s="3450"/>
    </row>
    <row r="4" spans="1:9" x14ac:dyDescent="0.2">
      <c r="A4" s="3450"/>
      <c r="B4" s="3450"/>
      <c r="C4" s="3450"/>
      <c r="D4" s="3450"/>
      <c r="E4" s="3450"/>
      <c r="F4" s="3450"/>
      <c r="G4" s="3450"/>
      <c r="H4" s="3450"/>
    </row>
    <row r="5" spans="1:9" x14ac:dyDescent="0.2">
      <c r="A5" s="3450"/>
      <c r="B5" s="3450"/>
      <c r="C5" s="3450"/>
      <c r="D5" s="3450"/>
      <c r="E5" s="3450"/>
      <c r="F5" s="3450"/>
      <c r="G5" s="3450"/>
      <c r="H5" s="3450"/>
    </row>
    <row r="6" spans="1:9" x14ac:dyDescent="0.2">
      <c r="A6" s="3450"/>
      <c r="B6" s="3450"/>
      <c r="C6" s="3450"/>
      <c r="D6" s="3450"/>
      <c r="E6" s="3450"/>
      <c r="F6" s="3450"/>
      <c r="G6" s="3450"/>
      <c r="H6" s="3450"/>
    </row>
    <row r="7" spans="1:9" x14ac:dyDescent="0.2">
      <c r="A7" s="3450"/>
      <c r="B7" s="3450"/>
      <c r="C7" s="3450"/>
      <c r="D7" s="3450"/>
      <c r="E7" s="3450"/>
      <c r="F7" s="3450"/>
      <c r="G7" s="3450"/>
      <c r="H7" s="3450"/>
    </row>
    <row r="8" spans="1:9" x14ac:dyDescent="0.2">
      <c r="A8" s="3450"/>
      <c r="B8" s="3450"/>
      <c r="C8" s="3450"/>
      <c r="D8" s="3450"/>
      <c r="E8" s="3450"/>
      <c r="F8" s="3450"/>
      <c r="G8" s="3450"/>
      <c r="H8" s="3450"/>
    </row>
    <row r="9" spans="1:9" x14ac:dyDescent="0.2">
      <c r="A9" s="3450"/>
      <c r="B9" s="3450"/>
      <c r="C9" s="3450"/>
      <c r="D9" s="3450"/>
      <c r="E9" s="3450"/>
      <c r="F9" s="3450"/>
      <c r="G9" s="3450"/>
      <c r="H9" s="3450"/>
    </row>
    <row r="10" spans="1:9" x14ac:dyDescent="0.2">
      <c r="A10" s="3450"/>
      <c r="B10" s="3450"/>
      <c r="C10" s="3450"/>
      <c r="D10" s="3450"/>
      <c r="E10" s="3450"/>
      <c r="F10" s="3450"/>
      <c r="G10" s="3450"/>
      <c r="H10" s="3450"/>
    </row>
    <row r="11" spans="1:9" ht="45.75" customHeight="1" thickBot="1" x14ac:dyDescent="0.25">
      <c r="A11" s="3451"/>
      <c r="B11" s="3451"/>
      <c r="C11" s="3451"/>
      <c r="D11" s="3451"/>
      <c r="E11" s="3451"/>
      <c r="F11" s="3451"/>
      <c r="G11" s="3451"/>
      <c r="H11" s="3451"/>
    </row>
    <row r="12" spans="1:9" ht="46.5" customHeight="1" x14ac:dyDescent="0.7">
      <c r="A12" s="3455" t="s">
        <v>745</v>
      </c>
      <c r="B12" s="3455"/>
      <c r="C12" s="3455"/>
      <c r="D12" s="3455"/>
      <c r="E12" s="3455"/>
      <c r="F12" s="3455"/>
      <c r="G12" s="342"/>
      <c r="H12" s="342"/>
    </row>
    <row r="13" spans="1:9" ht="37.5" customHeight="1" x14ac:dyDescent="0.5">
      <c r="A13" s="343"/>
      <c r="B13" s="343"/>
      <c r="C13" s="344"/>
      <c r="D13" s="1445" t="s">
        <v>1</v>
      </c>
      <c r="E13" s="345"/>
      <c r="F13" s="1735">
        <v>42415</v>
      </c>
      <c r="G13" s="1736"/>
      <c r="H13" s="340"/>
    </row>
    <row r="14" spans="1:9" ht="37.5" x14ac:dyDescent="0.5">
      <c r="A14" s="3456"/>
      <c r="B14" s="3458" t="s">
        <v>746</v>
      </c>
      <c r="C14" s="3458" t="s">
        <v>104</v>
      </c>
      <c r="D14" s="3460" t="s">
        <v>747</v>
      </c>
      <c r="E14" s="3461"/>
      <c r="F14" s="3462"/>
      <c r="G14" s="346"/>
      <c r="H14" s="347"/>
    </row>
    <row r="15" spans="1:9" ht="75" x14ac:dyDescent="0.5">
      <c r="A15" s="3457"/>
      <c r="B15" s="3459"/>
      <c r="C15" s="3459"/>
      <c r="D15" s="348" t="s">
        <v>748</v>
      </c>
      <c r="E15" s="348" t="s">
        <v>749</v>
      </c>
      <c r="F15" s="349" t="s">
        <v>750</v>
      </c>
      <c r="G15" s="347"/>
      <c r="H15" s="350"/>
    </row>
    <row r="16" spans="1:9" ht="75" customHeight="1" x14ac:dyDescent="0.35">
      <c r="A16" s="351"/>
      <c r="B16" s="352" t="s">
        <v>751</v>
      </c>
      <c r="C16" s="353" t="s">
        <v>107</v>
      </c>
      <c r="D16" s="354">
        <f>ROUND(659*(1-C59),2)</f>
        <v>659</v>
      </c>
      <c r="E16" s="354">
        <f>ROUND(924*(1-D59),2)</f>
        <v>924</v>
      </c>
      <c r="F16" s="354">
        <f>ROUND(1105*(1-E59),2)</f>
        <v>1105</v>
      </c>
      <c r="G16" s="347"/>
      <c r="H16" s="355"/>
      <c r="I16" s="356"/>
    </row>
    <row r="17" spans="1:9" ht="75" customHeight="1" x14ac:dyDescent="0.35">
      <c r="A17" s="351"/>
      <c r="B17" s="352" t="s">
        <v>752</v>
      </c>
      <c r="C17" s="353" t="s">
        <v>107</v>
      </c>
      <c r="D17" s="354">
        <f>ROUND(122*(1-C59),2)</f>
        <v>122</v>
      </c>
      <c r="E17" s="354">
        <f>ROUND(196*(1-D59),2)</f>
        <v>196</v>
      </c>
      <c r="F17" s="354">
        <f>ROUND(200*(1-E59),2)</f>
        <v>200</v>
      </c>
      <c r="G17" s="347"/>
      <c r="H17" s="355"/>
      <c r="I17" s="356"/>
    </row>
    <row r="18" spans="1:9" ht="75" customHeight="1" x14ac:dyDescent="0.35">
      <c r="A18" s="351"/>
      <c r="B18" s="352" t="s">
        <v>753</v>
      </c>
      <c r="C18" s="353" t="s">
        <v>107</v>
      </c>
      <c r="D18" s="354">
        <f>ROUND(105*(1-C59),2)</f>
        <v>105</v>
      </c>
      <c r="E18" s="354">
        <f>ROUND(164*(1-D59),2)</f>
        <v>164</v>
      </c>
      <c r="F18" s="354">
        <f>ROUND(169*(1-E59),2)</f>
        <v>169</v>
      </c>
      <c r="G18" s="347"/>
      <c r="H18" s="355"/>
      <c r="I18" s="356"/>
    </row>
    <row r="19" spans="1:9" ht="75" customHeight="1" x14ac:dyDescent="0.35">
      <c r="A19" s="351"/>
      <c r="B19" s="352" t="s">
        <v>754</v>
      </c>
      <c r="C19" s="353" t="s">
        <v>107</v>
      </c>
      <c r="D19" s="354">
        <f>ROUND(590*(1-C59),2)</f>
        <v>590</v>
      </c>
      <c r="E19" s="354">
        <f>ROUND(835*(1-D59),2)</f>
        <v>835</v>
      </c>
      <c r="F19" s="354">
        <f>ROUND(960*(1-E59),2)</f>
        <v>960</v>
      </c>
      <c r="G19" s="347"/>
      <c r="H19" s="355"/>
      <c r="I19" s="356"/>
    </row>
    <row r="20" spans="1:9" ht="75" customHeight="1" x14ac:dyDescent="0.35">
      <c r="A20" s="351"/>
      <c r="B20" s="357" t="s">
        <v>755</v>
      </c>
      <c r="C20" s="353" t="s">
        <v>107</v>
      </c>
      <c r="D20" s="354">
        <f>ROUND(943*(1-C59),2)</f>
        <v>943</v>
      </c>
      <c r="E20" s="354">
        <f>ROUND(1285*(1-D59),2)</f>
        <v>1285</v>
      </c>
      <c r="F20" s="354">
        <f>ROUND(1733*(1-E59),2)</f>
        <v>1733</v>
      </c>
      <c r="G20" s="347"/>
      <c r="H20" s="355"/>
      <c r="I20" s="356"/>
    </row>
    <row r="21" spans="1:9" ht="75" customHeight="1" x14ac:dyDescent="0.35">
      <c r="A21" s="351"/>
      <c r="B21" s="352" t="s">
        <v>756</v>
      </c>
      <c r="C21" s="353" t="s">
        <v>107</v>
      </c>
      <c r="D21" s="354">
        <f>ROUND(252*(1-C59),2)</f>
        <v>252</v>
      </c>
      <c r="E21" s="354">
        <f>ROUND(381*(1-D59),2)</f>
        <v>381</v>
      </c>
      <c r="F21" s="354">
        <f>ROUND(386*(1-E59),2)</f>
        <v>386</v>
      </c>
      <c r="G21" s="347"/>
      <c r="H21" s="355"/>
      <c r="I21" s="356"/>
    </row>
    <row r="22" spans="1:9" ht="75" customHeight="1" x14ac:dyDescent="0.35">
      <c r="A22" s="351"/>
      <c r="B22" s="352" t="s">
        <v>757</v>
      </c>
      <c r="C22" s="353" t="s">
        <v>107</v>
      </c>
      <c r="D22" s="354">
        <f>ROUND(1082*(1-C59),2)</f>
        <v>1082</v>
      </c>
      <c r="E22" s="354">
        <f>ROUND(1372*(1-D59),2)</f>
        <v>1372</v>
      </c>
      <c r="F22" s="354">
        <f>ROUND(1390*(1-E59),2)</f>
        <v>1390</v>
      </c>
      <c r="G22" s="347"/>
      <c r="H22" s="355"/>
      <c r="I22" s="356"/>
    </row>
    <row r="23" spans="1:9" ht="75" customHeight="1" x14ac:dyDescent="0.35">
      <c r="A23" s="351"/>
      <c r="B23" s="352" t="s">
        <v>758</v>
      </c>
      <c r="C23" s="353" t="s">
        <v>107</v>
      </c>
      <c r="D23" s="354">
        <f>ROUND(138*(1-C59),2)</f>
        <v>138</v>
      </c>
      <c r="E23" s="354">
        <f>ROUND(175*(1-D59),2)</f>
        <v>175</v>
      </c>
      <c r="F23" s="354">
        <f>ROUND(181*(1-E59),2)</f>
        <v>181</v>
      </c>
      <c r="G23" s="347"/>
      <c r="H23" s="355"/>
      <c r="I23" s="356"/>
    </row>
    <row r="24" spans="1:9" ht="75" customHeight="1" x14ac:dyDescent="0.35">
      <c r="A24" s="351"/>
      <c r="B24" s="352" t="s">
        <v>759</v>
      </c>
      <c r="C24" s="353" t="s">
        <v>107</v>
      </c>
      <c r="D24" s="354">
        <f>ROUND(105*(1-C59),2)</f>
        <v>105</v>
      </c>
      <c r="E24" s="354">
        <f>ROUND(137*(1-D59),2)</f>
        <v>137</v>
      </c>
      <c r="F24" s="354" t="s">
        <v>17</v>
      </c>
      <c r="G24" s="347"/>
      <c r="H24" s="355"/>
      <c r="I24" s="356"/>
    </row>
    <row r="25" spans="1:9" ht="75" customHeight="1" x14ac:dyDescent="0.35">
      <c r="A25" s="351"/>
      <c r="B25" s="352" t="s">
        <v>760</v>
      </c>
      <c r="C25" s="353" t="s">
        <v>107</v>
      </c>
      <c r="D25" s="354" t="s">
        <v>17</v>
      </c>
      <c r="E25" s="354">
        <f>ROUND(212*(1-D59),2)</f>
        <v>212</v>
      </c>
      <c r="F25" s="354">
        <f>ROUND(218*(1-E59),2)</f>
        <v>218</v>
      </c>
      <c r="G25" s="347"/>
      <c r="H25" s="355"/>
      <c r="I25" s="356"/>
    </row>
    <row r="26" spans="1:9" ht="75" customHeight="1" x14ac:dyDescent="0.35">
      <c r="A26" s="351"/>
      <c r="B26" s="352" t="s">
        <v>761</v>
      </c>
      <c r="C26" s="353" t="s">
        <v>107</v>
      </c>
      <c r="D26" s="354" t="s">
        <v>17</v>
      </c>
      <c r="E26" s="354" t="s">
        <v>17</v>
      </c>
      <c r="F26" s="354">
        <f>ROUND(162*(1-E59),2)</f>
        <v>162</v>
      </c>
      <c r="G26" s="347"/>
      <c r="H26" s="355"/>
      <c r="I26" s="356"/>
    </row>
    <row r="27" spans="1:9" ht="75" customHeight="1" x14ac:dyDescent="0.35">
      <c r="A27" s="351"/>
      <c r="B27" s="352" t="s">
        <v>762</v>
      </c>
      <c r="C27" s="353" t="s">
        <v>107</v>
      </c>
      <c r="D27" s="354">
        <f>ROUND(1289*(1-C59),2)</f>
        <v>1289</v>
      </c>
      <c r="E27" s="354">
        <f>ROUND(1622*(1-D59),2)</f>
        <v>1622</v>
      </c>
      <c r="F27" s="354">
        <f>ROUND(1665*(1-E59),2)</f>
        <v>1665</v>
      </c>
      <c r="G27" s="347"/>
      <c r="H27" s="355"/>
      <c r="I27" s="356"/>
    </row>
    <row r="28" spans="1:9" ht="75" customHeight="1" x14ac:dyDescent="0.35">
      <c r="A28" s="351"/>
      <c r="B28" s="352" t="s">
        <v>763</v>
      </c>
      <c r="C28" s="353" t="s">
        <v>107</v>
      </c>
      <c r="D28" s="354">
        <f>ROUND(823*(1-C59),2)</f>
        <v>823</v>
      </c>
      <c r="E28" s="354">
        <f>ROUND(1235*(1-D59),2)</f>
        <v>1235</v>
      </c>
      <c r="F28" s="354">
        <f>ROUND(1328*(1-E59),2)</f>
        <v>1328</v>
      </c>
      <c r="G28" s="347"/>
      <c r="H28" s="355"/>
      <c r="I28" s="356"/>
    </row>
    <row r="29" spans="1:9" ht="75" customHeight="1" x14ac:dyDescent="0.35">
      <c r="A29" s="351"/>
      <c r="B29" s="358" t="s">
        <v>764</v>
      </c>
      <c r="C29" s="353" t="s">
        <v>107</v>
      </c>
      <c r="D29" s="354">
        <f>ROUND(289*(1-C59),2)</f>
        <v>289</v>
      </c>
      <c r="E29" s="354">
        <f>ROUND(435*(1-D59),2)</f>
        <v>435</v>
      </c>
      <c r="F29" s="354">
        <f>ROUND(443*(1-E59),2)</f>
        <v>443</v>
      </c>
      <c r="G29" s="347"/>
      <c r="H29" s="355"/>
      <c r="I29" s="356"/>
    </row>
    <row r="30" spans="1:9" ht="75" customHeight="1" x14ac:dyDescent="0.35">
      <c r="A30" s="351"/>
      <c r="B30" s="352" t="s">
        <v>765</v>
      </c>
      <c r="C30" s="353" t="s">
        <v>107</v>
      </c>
      <c r="D30" s="354">
        <f>ROUND(238*(1-C59),2)</f>
        <v>238</v>
      </c>
      <c r="E30" s="354">
        <f>ROUND(389*(1-D59),2)</f>
        <v>389</v>
      </c>
      <c r="F30" s="354">
        <f>ROUND(399*(1-E59),2)</f>
        <v>399</v>
      </c>
      <c r="G30" s="347"/>
      <c r="H30" s="355"/>
      <c r="I30" s="356"/>
    </row>
    <row r="31" spans="1:9" ht="75" customHeight="1" x14ac:dyDescent="0.35">
      <c r="A31" s="351"/>
      <c r="B31" s="352" t="s">
        <v>766</v>
      </c>
      <c r="C31" s="353" t="s">
        <v>107</v>
      </c>
      <c r="D31" s="354">
        <f>ROUND(252*(1-C59),2)</f>
        <v>252</v>
      </c>
      <c r="E31" s="354">
        <f>ROUND(418*(1-D59),2)</f>
        <v>418</v>
      </c>
      <c r="F31" s="354">
        <f>ROUND(424*(1-E59),2)</f>
        <v>424</v>
      </c>
      <c r="G31" s="347"/>
      <c r="H31" s="355"/>
      <c r="I31" s="356"/>
    </row>
    <row r="32" spans="1:9" ht="75" customHeight="1" x14ac:dyDescent="0.35">
      <c r="A32" s="351"/>
      <c r="B32" s="352" t="s">
        <v>767</v>
      </c>
      <c r="C32" s="353" t="s">
        <v>107</v>
      </c>
      <c r="D32" s="354">
        <f>ROUND(138*(1-C59),2)</f>
        <v>138</v>
      </c>
      <c r="E32" s="354">
        <f>ROUND(244*(1-D59),2)</f>
        <v>244</v>
      </c>
      <c r="F32" s="354">
        <f>ROUND(250*(1-E59),2)</f>
        <v>250</v>
      </c>
      <c r="G32" s="347"/>
      <c r="H32" s="355"/>
      <c r="I32" s="356"/>
    </row>
    <row r="33" spans="1:11" ht="75" customHeight="1" x14ac:dyDescent="0.35">
      <c r="A33" s="351"/>
      <c r="B33" s="352" t="s">
        <v>768</v>
      </c>
      <c r="C33" s="353" t="s">
        <v>107</v>
      </c>
      <c r="D33" s="354">
        <f>ROUND(105*(1-C59),2)</f>
        <v>105</v>
      </c>
      <c r="E33" s="354">
        <f>ROUND(165*(1-D59),2)</f>
        <v>165</v>
      </c>
      <c r="F33" s="354">
        <f>ROUND(169*(1-E59),2)</f>
        <v>169</v>
      </c>
      <c r="G33" s="347"/>
      <c r="H33" s="355"/>
      <c r="I33" s="356"/>
    </row>
    <row r="34" spans="1:11" ht="75" customHeight="1" x14ac:dyDescent="0.35">
      <c r="A34" s="351"/>
      <c r="B34" s="352" t="s">
        <v>769</v>
      </c>
      <c r="C34" s="353" t="s">
        <v>107</v>
      </c>
      <c r="D34" s="354">
        <f>ROUND(208*(1-C59),2)</f>
        <v>208</v>
      </c>
      <c r="E34" s="354">
        <f>ROUND(306*(1-D59),2)</f>
        <v>306</v>
      </c>
      <c r="F34" s="354">
        <f>ROUND(318*(1-E59),2)</f>
        <v>318</v>
      </c>
      <c r="G34" s="347"/>
      <c r="H34" s="355"/>
      <c r="I34" s="356"/>
    </row>
    <row r="35" spans="1:11" ht="75" customHeight="1" x14ac:dyDescent="0.35">
      <c r="A35" s="351"/>
      <c r="B35" s="352" t="s">
        <v>770</v>
      </c>
      <c r="C35" s="353" t="s">
        <v>107</v>
      </c>
      <c r="D35" s="354">
        <f>ROUND(27*(1-C59),2)</f>
        <v>27</v>
      </c>
      <c r="E35" s="354">
        <f>ROUND(38*(1-D59),2)</f>
        <v>38</v>
      </c>
      <c r="F35" s="354">
        <f>ROUND(38*(1-E59),2)</f>
        <v>38</v>
      </c>
      <c r="G35" s="347"/>
      <c r="H35" s="355"/>
      <c r="I35" s="356"/>
    </row>
    <row r="36" spans="1:11" ht="75" customHeight="1" x14ac:dyDescent="0.35">
      <c r="A36" s="351"/>
      <c r="B36" s="352" t="s">
        <v>771</v>
      </c>
      <c r="C36" s="353" t="s">
        <v>107</v>
      </c>
      <c r="D36" s="3464">
        <v>60</v>
      </c>
      <c r="E36" s="3465"/>
      <c r="F36" s="3466"/>
      <c r="G36" s="347"/>
      <c r="H36" s="355"/>
      <c r="I36" s="356"/>
    </row>
    <row r="37" spans="1:11" ht="37.5" x14ac:dyDescent="0.5">
      <c r="A37" s="3460" t="s">
        <v>10</v>
      </c>
      <c r="B37" s="3461"/>
      <c r="C37" s="3462"/>
      <c r="D37" s="3460" t="s">
        <v>772</v>
      </c>
      <c r="E37" s="3461"/>
      <c r="F37" s="3462"/>
      <c r="G37" s="340"/>
      <c r="H37" s="359"/>
    </row>
    <row r="38" spans="1:11" ht="37.5" x14ac:dyDescent="0.5">
      <c r="A38" s="3460" t="s">
        <v>1759</v>
      </c>
      <c r="B38" s="3461"/>
      <c r="C38" s="3461"/>
      <c r="D38" s="3461"/>
      <c r="E38" s="3461"/>
      <c r="F38" s="3462"/>
      <c r="G38" s="340"/>
      <c r="H38" s="359"/>
    </row>
    <row r="39" spans="1:11" ht="75" customHeight="1" x14ac:dyDescent="0.2">
      <c r="A39" s="361"/>
      <c r="B39" s="362" t="s">
        <v>631</v>
      </c>
      <c r="C39" s="363" t="s">
        <v>107</v>
      </c>
      <c r="D39" s="3467">
        <v>403</v>
      </c>
      <c r="E39" s="3468"/>
      <c r="F39" s="3469"/>
      <c r="G39" s="340"/>
      <c r="H39" s="364"/>
    </row>
    <row r="40" spans="1:11" ht="75" customHeight="1" x14ac:dyDescent="0.2">
      <c r="A40" s="361"/>
      <c r="B40" s="362" t="s">
        <v>3141</v>
      </c>
      <c r="C40" s="363" t="s">
        <v>107</v>
      </c>
      <c r="D40" s="3467">
        <v>230</v>
      </c>
      <c r="E40" s="3468"/>
      <c r="F40" s="3469"/>
      <c r="G40" s="340"/>
      <c r="H40" s="364"/>
    </row>
    <row r="41" spans="1:11" ht="75" x14ac:dyDescent="0.2">
      <c r="A41" s="361"/>
      <c r="B41" s="362" t="s">
        <v>774</v>
      </c>
      <c r="C41" s="363" t="s">
        <v>107</v>
      </c>
      <c r="D41" s="3452">
        <v>8600</v>
      </c>
      <c r="E41" s="3453"/>
      <c r="F41" s="3454"/>
      <c r="G41" s="340"/>
      <c r="H41" s="364"/>
    </row>
    <row r="42" spans="1:11" ht="86.25" customHeight="1" x14ac:dyDescent="0.2">
      <c r="A42" s="361"/>
      <c r="B42" s="362" t="s">
        <v>1751</v>
      </c>
      <c r="C42" s="363" t="s">
        <v>107</v>
      </c>
      <c r="D42" s="3452">
        <v>4400</v>
      </c>
      <c r="E42" s="3453"/>
      <c r="F42" s="3454"/>
      <c r="G42" s="340"/>
      <c r="H42" s="8"/>
      <c r="I42" s="1525"/>
      <c r="J42" s="3449"/>
      <c r="K42" s="3449"/>
    </row>
    <row r="43" spans="1:11" ht="86.25" customHeight="1" x14ac:dyDescent="0.2">
      <c r="A43" s="360"/>
      <c r="B43" s="357" t="s">
        <v>773</v>
      </c>
      <c r="C43" s="353" t="s">
        <v>107</v>
      </c>
      <c r="D43" s="3452">
        <v>4500</v>
      </c>
      <c r="E43" s="3453"/>
      <c r="F43" s="3454"/>
      <c r="G43" s="340"/>
      <c r="H43" s="8"/>
      <c r="I43" s="1526"/>
      <c r="J43" s="3449"/>
      <c r="K43" s="3449"/>
    </row>
    <row r="44" spans="1:11" ht="37.5" x14ac:dyDescent="0.2">
      <c r="A44" s="346"/>
      <c r="B44" s="970"/>
      <c r="C44" s="971"/>
      <c r="D44" s="972"/>
      <c r="E44" s="972"/>
      <c r="F44" s="972"/>
      <c r="G44" s="340"/>
      <c r="H44" s="364"/>
    </row>
    <row r="45" spans="1:11" ht="37.5" x14ac:dyDescent="0.5">
      <c r="A45" s="900" t="s">
        <v>775</v>
      </c>
      <c r="B45" s="367"/>
      <c r="C45" s="365"/>
      <c r="D45" s="365"/>
      <c r="E45" s="365"/>
      <c r="F45" s="365"/>
      <c r="G45" s="365"/>
      <c r="H45" s="366"/>
    </row>
    <row r="46" spans="1:11" ht="37.5" x14ac:dyDescent="0.5">
      <c r="A46" s="367" t="s">
        <v>3065</v>
      </c>
      <c r="B46" s="367"/>
      <c r="C46" s="365"/>
      <c r="D46" s="365"/>
      <c r="E46" s="365"/>
      <c r="F46" s="365"/>
      <c r="G46" s="365"/>
      <c r="H46" s="368"/>
    </row>
    <row r="47" spans="1:11" ht="37.5" x14ac:dyDescent="0.5">
      <c r="A47" s="1613" t="s">
        <v>2868</v>
      </c>
      <c r="B47" s="367"/>
      <c r="C47" s="365"/>
      <c r="D47" s="365"/>
      <c r="E47" s="365"/>
      <c r="F47" s="365"/>
      <c r="G47" s="365"/>
      <c r="H47" s="370"/>
    </row>
    <row r="48" spans="1:11" ht="37.5" x14ac:dyDescent="0.5">
      <c r="C48" s="365"/>
      <c r="D48" s="365"/>
      <c r="E48" s="365"/>
      <c r="F48" s="365"/>
      <c r="G48" s="365"/>
      <c r="H48" s="370"/>
    </row>
    <row r="49" spans="1:8" ht="37.5" x14ac:dyDescent="0.5">
      <c r="A49" s="373" t="s">
        <v>1709</v>
      </c>
      <c r="C49" s="365"/>
      <c r="D49" s="365"/>
      <c r="E49" s="365"/>
      <c r="F49" s="365"/>
      <c r="G49" s="365"/>
      <c r="H49" s="370"/>
    </row>
    <row r="50" spans="1:8" ht="37.5" x14ac:dyDescent="0.5">
      <c r="A50" s="369" t="s">
        <v>1710</v>
      </c>
      <c r="B50" s="371"/>
      <c r="C50" s="365"/>
      <c r="D50" s="365"/>
      <c r="E50" s="365"/>
      <c r="F50" s="365"/>
      <c r="G50" s="365"/>
      <c r="H50" s="365"/>
    </row>
    <row r="51" spans="1:8" ht="37.5" x14ac:dyDescent="0.45">
      <c r="A51" s="374" t="s">
        <v>712</v>
      </c>
      <c r="B51" s="371"/>
      <c r="C51" s="372"/>
      <c r="D51" s="372"/>
      <c r="E51" s="372"/>
      <c r="F51" s="372"/>
      <c r="G51" s="372"/>
      <c r="H51" s="372"/>
    </row>
    <row r="52" spans="1:8" ht="37.5" x14ac:dyDescent="0.2">
      <c r="A52" s="373"/>
      <c r="B52" s="371"/>
      <c r="C52" s="372"/>
      <c r="D52" s="372"/>
      <c r="E52" s="372"/>
      <c r="F52" s="372"/>
      <c r="G52" s="372"/>
      <c r="H52" s="372"/>
    </row>
    <row r="53" spans="1:8" ht="37.5" x14ac:dyDescent="0.45">
      <c r="A53" s="376"/>
      <c r="B53" s="367"/>
      <c r="C53" s="372"/>
      <c r="D53" s="372"/>
      <c r="E53" s="372"/>
      <c r="F53" s="372"/>
      <c r="G53" s="372"/>
      <c r="H53" s="372"/>
    </row>
    <row r="54" spans="1:8" ht="37.5" x14ac:dyDescent="0.5">
      <c r="A54" s="377"/>
      <c r="B54" s="377"/>
      <c r="C54" s="375"/>
      <c r="D54" s="375"/>
      <c r="E54" s="375"/>
      <c r="F54" s="375"/>
      <c r="G54" s="375"/>
      <c r="H54" s="375"/>
    </row>
    <row r="55" spans="1:8" ht="37.5" x14ac:dyDescent="0.5">
      <c r="A55" s="377"/>
      <c r="B55" s="377"/>
      <c r="C55" s="375"/>
      <c r="D55" s="375"/>
      <c r="E55" s="375"/>
      <c r="F55" s="375"/>
      <c r="G55" s="375"/>
      <c r="H55" s="375"/>
    </row>
    <row r="56" spans="1:8" ht="37.5" x14ac:dyDescent="0.5">
      <c r="A56" s="377"/>
      <c r="C56" s="365"/>
      <c r="D56" s="365"/>
      <c r="E56" s="365"/>
      <c r="F56" s="365"/>
      <c r="G56" s="365"/>
      <c r="H56" s="365"/>
    </row>
    <row r="57" spans="1:8" ht="37.5" x14ac:dyDescent="0.5">
      <c r="A57" s="365"/>
      <c r="B57" s="365"/>
      <c r="C57" s="365"/>
      <c r="D57" s="365"/>
      <c r="E57" s="365"/>
      <c r="F57" s="365"/>
      <c r="G57" s="365"/>
      <c r="H57" s="365"/>
    </row>
    <row r="58" spans="1:8" ht="55.5" x14ac:dyDescent="0.2">
      <c r="A58" s="3463" t="s">
        <v>66</v>
      </c>
      <c r="B58" s="3463"/>
      <c r="C58" s="379" t="s">
        <v>776</v>
      </c>
      <c r="D58" s="379" t="s">
        <v>777</v>
      </c>
      <c r="E58" s="380" t="s">
        <v>778</v>
      </c>
      <c r="F58" s="381"/>
      <c r="G58" s="382"/>
      <c r="H58" s="381"/>
    </row>
    <row r="59" spans="1:8" ht="55.5" customHeight="1" x14ac:dyDescent="0.2">
      <c r="A59" s="3463"/>
      <c r="B59" s="3463"/>
      <c r="C59" s="899">
        <v>0</v>
      </c>
      <c r="D59" s="897">
        <v>0</v>
      </c>
      <c r="E59" s="897">
        <v>0</v>
      </c>
      <c r="F59" s="383"/>
      <c r="G59" s="382"/>
      <c r="H59" s="383"/>
    </row>
  </sheetData>
  <sheetProtection formatCells="0" formatColumns="0" formatRows="0" insertColumns="0" insertRows="0" insertHyperlinks="0" deleteColumns="0" deleteRows="0" sort="0" autoFilter="0" pivotTables="0"/>
  <mergeCells count="18">
    <mergeCell ref="A58:B59"/>
    <mergeCell ref="D36:F36"/>
    <mergeCell ref="A37:C37"/>
    <mergeCell ref="D37:F37"/>
    <mergeCell ref="A38:F38"/>
    <mergeCell ref="D39:F39"/>
    <mergeCell ref="D41:F41"/>
    <mergeCell ref="D40:F40"/>
    <mergeCell ref="J42:K42"/>
    <mergeCell ref="J43:K43"/>
    <mergeCell ref="A1:H11"/>
    <mergeCell ref="D42:F42"/>
    <mergeCell ref="D43:F43"/>
    <mergeCell ref="A12:F12"/>
    <mergeCell ref="A14:A15"/>
    <mergeCell ref="B14:B15"/>
    <mergeCell ref="C14:C15"/>
    <mergeCell ref="D14:F14"/>
  </mergeCells>
  <printOptions horizontalCentered="1"/>
  <pageMargins left="0.11811023622047245" right="0" top="0" bottom="0" header="0" footer="0"/>
  <pageSetup paperSize="9" scale="28" orientation="portrait" r:id="rId1"/>
  <headerFooter>
    <oddFooter>&amp;R&amp;20Стр. &amp;P &amp;18из  &amp;N
&amp;A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0"/>
  <dimension ref="A1:E44"/>
  <sheetViews>
    <sheetView zoomScale="50" zoomScaleNormal="50" zoomScaleSheetLayoutView="40" zoomScalePageLayoutView="70" workbookViewId="0">
      <selection sqref="A1:C2"/>
    </sheetView>
  </sheetViews>
  <sheetFormatPr defaultRowHeight="12.75" x14ac:dyDescent="0.2"/>
  <cols>
    <col min="1" max="1" width="30.85546875" style="396" customWidth="1"/>
    <col min="2" max="2" width="72.5703125" style="396" customWidth="1"/>
    <col min="3" max="3" width="24" style="396" customWidth="1"/>
    <col min="4" max="4" width="37.5703125" style="396" customWidth="1"/>
    <col min="5" max="5" width="34" style="396" customWidth="1"/>
    <col min="6" max="6" width="9.140625" style="396"/>
    <col min="7" max="7" width="11.7109375" style="396" customWidth="1"/>
    <col min="8" max="16384" width="9.140625" style="396"/>
  </cols>
  <sheetData>
    <row r="1" spans="1:5" s="384" customFormat="1" ht="12" customHeight="1" x14ac:dyDescent="0.2">
      <c r="A1" s="3470"/>
      <c r="B1" s="3470"/>
      <c r="C1" s="3470"/>
      <c r="D1" s="3470"/>
      <c r="E1" s="3470"/>
    </row>
    <row r="2" spans="1:5" s="384" customFormat="1" x14ac:dyDescent="0.2">
      <c r="A2" s="3470"/>
      <c r="B2" s="3470"/>
      <c r="C2" s="3470"/>
      <c r="D2" s="3470"/>
      <c r="E2" s="3470"/>
    </row>
    <row r="3" spans="1:5" s="384" customFormat="1" x14ac:dyDescent="0.2">
      <c r="A3" s="3470"/>
      <c r="B3" s="3470"/>
      <c r="C3" s="3470"/>
      <c r="D3" s="3470"/>
      <c r="E3" s="3470"/>
    </row>
    <row r="4" spans="1:5" s="384" customFormat="1" x14ac:dyDescent="0.2">
      <c r="A4" s="3470"/>
      <c r="B4" s="3470"/>
      <c r="C4" s="3470"/>
      <c r="D4" s="3470"/>
      <c r="E4" s="3470"/>
    </row>
    <row r="5" spans="1:5" s="384" customFormat="1" x14ac:dyDescent="0.2">
      <c r="A5" s="3470"/>
      <c r="B5" s="3470"/>
      <c r="C5" s="3470"/>
      <c r="D5" s="3470"/>
      <c r="E5" s="3470"/>
    </row>
    <row r="6" spans="1:5" s="384" customFormat="1" x14ac:dyDescent="0.2">
      <c r="A6" s="3470"/>
      <c r="B6" s="3470"/>
      <c r="C6" s="3470"/>
      <c r="D6" s="3470"/>
      <c r="E6" s="3470"/>
    </row>
    <row r="7" spans="1:5" s="384" customFormat="1" ht="24" customHeight="1" thickBot="1" x14ac:dyDescent="0.25">
      <c r="A7" s="3471"/>
      <c r="B7" s="3471"/>
      <c r="C7" s="3471"/>
      <c r="D7" s="3471"/>
      <c r="E7" s="3471"/>
    </row>
    <row r="8" spans="1:5" s="384" customFormat="1" ht="35.25" x14ac:dyDescent="0.2">
      <c r="A8" s="3474" t="s">
        <v>779</v>
      </c>
      <c r="B8" s="3474"/>
      <c r="C8" s="3474"/>
      <c r="D8" s="3474"/>
      <c r="E8" s="3474"/>
    </row>
    <row r="9" spans="1:5" s="384" customFormat="1" ht="23.25" x14ac:dyDescent="0.2">
      <c r="A9" s="385"/>
      <c r="B9" s="386"/>
      <c r="C9" s="387"/>
      <c r="D9" s="3475" t="s">
        <v>3139</v>
      </c>
      <c r="E9" s="3475"/>
    </row>
    <row r="10" spans="1:5" s="384" customFormat="1" ht="25.5" customHeight="1" x14ac:dyDescent="0.2">
      <c r="A10" s="3483"/>
      <c r="B10" s="3480" t="s">
        <v>780</v>
      </c>
      <c r="C10" s="3480" t="s">
        <v>104</v>
      </c>
      <c r="D10" s="3476" t="s">
        <v>747</v>
      </c>
      <c r="E10" s="3477"/>
    </row>
    <row r="11" spans="1:5" s="384" customFormat="1" ht="7.5" customHeight="1" x14ac:dyDescent="0.2">
      <c r="A11" s="3484"/>
      <c r="B11" s="3481"/>
      <c r="C11" s="3481"/>
      <c r="D11" s="3478"/>
      <c r="E11" s="3479"/>
    </row>
    <row r="12" spans="1:5" s="384" customFormat="1" ht="33" customHeight="1" x14ac:dyDescent="0.2">
      <c r="A12" s="3485"/>
      <c r="B12" s="3482"/>
      <c r="C12" s="3482"/>
      <c r="D12" s="1780" t="s">
        <v>2821</v>
      </c>
      <c r="E12" s="1780" t="s">
        <v>2824</v>
      </c>
    </row>
    <row r="13" spans="1:5" s="384" customFormat="1" ht="69" customHeight="1" x14ac:dyDescent="0.2">
      <c r="A13" s="388"/>
      <c r="B13" s="389" t="s">
        <v>781</v>
      </c>
      <c r="C13" s="969" t="s">
        <v>107</v>
      </c>
      <c r="D13" s="1779">
        <f>ROUND(411*(1-C43),2)</f>
        <v>411</v>
      </c>
      <c r="E13" s="1779"/>
    </row>
    <row r="14" spans="1:5" s="384" customFormat="1" ht="69" customHeight="1" x14ac:dyDescent="0.2">
      <c r="A14" s="388"/>
      <c r="B14" s="389" t="s">
        <v>2822</v>
      </c>
      <c r="C14" s="1779" t="s">
        <v>107</v>
      </c>
      <c r="D14" s="1779" t="s">
        <v>17</v>
      </c>
      <c r="E14" s="1779">
        <f>ROUND(325*(1-C43),2)</f>
        <v>325</v>
      </c>
    </row>
    <row r="15" spans="1:5" s="384" customFormat="1" ht="66" customHeight="1" x14ac:dyDescent="0.2">
      <c r="A15" s="388"/>
      <c r="B15" s="389" t="s">
        <v>752</v>
      </c>
      <c r="C15" s="969" t="s">
        <v>107</v>
      </c>
      <c r="D15" s="1779">
        <f>ROUND(63*(1-C43),2)</f>
        <v>63</v>
      </c>
      <c r="E15" s="1779" t="s">
        <v>17</v>
      </c>
    </row>
    <row r="16" spans="1:5" s="384" customFormat="1" ht="66" customHeight="1" x14ac:dyDescent="0.2">
      <c r="A16" s="388"/>
      <c r="B16" s="389" t="s">
        <v>782</v>
      </c>
      <c r="C16" s="969" t="s">
        <v>107</v>
      </c>
      <c r="D16" s="1778">
        <f>ROUND(63*(1-C43),2)</f>
        <v>63</v>
      </c>
      <c r="E16" s="1779">
        <f>ROUND(57*(1-C45),2)</f>
        <v>57</v>
      </c>
    </row>
    <row r="17" spans="1:5" s="384" customFormat="1" ht="67.5" customHeight="1" x14ac:dyDescent="0.2">
      <c r="A17" s="388"/>
      <c r="B17" s="389" t="s">
        <v>783</v>
      </c>
      <c r="C17" s="969" t="s">
        <v>107</v>
      </c>
      <c r="D17" s="1778">
        <f>ROUND(340*(1-C43),2)</f>
        <v>340</v>
      </c>
      <c r="E17" s="1779">
        <f>ROUND(318*(1-C43),2)</f>
        <v>318</v>
      </c>
    </row>
    <row r="18" spans="1:5" s="384" customFormat="1" ht="67.5" customHeight="1" x14ac:dyDescent="0.2">
      <c r="A18" s="388"/>
      <c r="B18" s="389" t="s">
        <v>784</v>
      </c>
      <c r="C18" s="969" t="s">
        <v>107</v>
      </c>
      <c r="D18" s="1778">
        <f>ROUND(374*(1-C43),2)</f>
        <v>374</v>
      </c>
      <c r="E18" s="1779">
        <f>ROUND(356*(1-C43),2)</f>
        <v>356</v>
      </c>
    </row>
    <row r="19" spans="1:5" s="384" customFormat="1" ht="66" customHeight="1" x14ac:dyDescent="0.2">
      <c r="A19" s="388"/>
      <c r="B19" s="389" t="s">
        <v>785</v>
      </c>
      <c r="C19" s="969" t="s">
        <v>107</v>
      </c>
      <c r="D19" s="1778">
        <f>ROUND(63*(1-C43),2)</f>
        <v>63</v>
      </c>
      <c r="E19" s="1779">
        <f>ROUND(57*(1-C43),2)</f>
        <v>57</v>
      </c>
    </row>
    <row r="20" spans="1:5" s="384" customFormat="1" ht="66" customHeight="1" x14ac:dyDescent="0.2">
      <c r="A20" s="388"/>
      <c r="B20" s="389" t="s">
        <v>786</v>
      </c>
      <c r="C20" s="969" t="s">
        <v>107</v>
      </c>
      <c r="D20" s="1778">
        <f>ROUND(87*(1-C43),2)</f>
        <v>87</v>
      </c>
      <c r="E20" s="1779">
        <f>ROUND(83*(1-C43),2)</f>
        <v>83</v>
      </c>
    </row>
    <row r="21" spans="1:5" s="384" customFormat="1" ht="55.5" customHeight="1" x14ac:dyDescent="0.2">
      <c r="A21" s="388"/>
      <c r="B21" s="389" t="s">
        <v>760</v>
      </c>
      <c r="C21" s="969" t="s">
        <v>107</v>
      </c>
      <c r="D21" s="1778">
        <f>ROUND(105*(1-C43),2)</f>
        <v>105</v>
      </c>
      <c r="E21" s="1779">
        <f>ROUND(94*(1-C43),2)</f>
        <v>94</v>
      </c>
    </row>
    <row r="22" spans="1:5" s="384" customFormat="1" ht="52.5" customHeight="1" x14ac:dyDescent="0.2">
      <c r="A22" s="388"/>
      <c r="B22" s="389" t="s">
        <v>761</v>
      </c>
      <c r="C22" s="969" t="s">
        <v>107</v>
      </c>
      <c r="D22" s="1778">
        <f>ROUND(88*(1-C43),2)</f>
        <v>88</v>
      </c>
      <c r="E22" s="1779">
        <f>ROUND(83*(1-C43),2)</f>
        <v>83</v>
      </c>
    </row>
    <row r="23" spans="1:5" s="384" customFormat="1" ht="67.5" customHeight="1" x14ac:dyDescent="0.2">
      <c r="A23" s="388"/>
      <c r="B23" s="389" t="s">
        <v>787</v>
      </c>
      <c r="C23" s="969" t="s">
        <v>107</v>
      </c>
      <c r="D23" s="1778">
        <f>ROUND(45*(1-C43),2)</f>
        <v>45</v>
      </c>
      <c r="E23" s="1779">
        <f>ROUND(45*(1-C43),2)</f>
        <v>45</v>
      </c>
    </row>
    <row r="24" spans="1:5" s="384" customFormat="1" ht="66" customHeight="1" x14ac:dyDescent="0.2">
      <c r="A24" s="388"/>
      <c r="B24" s="389" t="s">
        <v>788</v>
      </c>
      <c r="C24" s="969" t="s">
        <v>107</v>
      </c>
      <c r="D24" s="1778">
        <f>ROUND(498*(1-C43),2)</f>
        <v>498</v>
      </c>
      <c r="E24" s="1779" t="s">
        <v>17</v>
      </c>
    </row>
    <row r="25" spans="1:5" s="384" customFormat="1" ht="66" customHeight="1" x14ac:dyDescent="0.2">
      <c r="A25" s="388"/>
      <c r="B25" s="389" t="s">
        <v>2823</v>
      </c>
      <c r="C25" s="1779" t="s">
        <v>107</v>
      </c>
      <c r="D25" s="1778" t="s">
        <v>17</v>
      </c>
      <c r="E25" s="1779">
        <f>ROUND(399*(1-C43),2)</f>
        <v>399</v>
      </c>
    </row>
    <row r="26" spans="1:5" s="384" customFormat="1" ht="69" customHeight="1" x14ac:dyDescent="0.2">
      <c r="A26" s="388"/>
      <c r="B26" s="389" t="s">
        <v>789</v>
      </c>
      <c r="C26" s="969" t="s">
        <v>107</v>
      </c>
      <c r="D26" s="1778">
        <f>ROUND(601*(1-C43),2)</f>
        <v>601</v>
      </c>
      <c r="E26" s="1779" t="s">
        <v>17</v>
      </c>
    </row>
    <row r="27" spans="1:5" s="384" customFormat="1" ht="75" customHeight="1" x14ac:dyDescent="0.2">
      <c r="A27" s="388"/>
      <c r="B27" s="389" t="s">
        <v>790</v>
      </c>
      <c r="C27" s="969" t="s">
        <v>107</v>
      </c>
      <c r="D27" s="1778">
        <f>ROUND(227*(1-C43),2)</f>
        <v>227</v>
      </c>
      <c r="E27" s="1779">
        <f>ROUND(212*(1-C43),2)</f>
        <v>212</v>
      </c>
    </row>
    <row r="28" spans="1:5" s="384" customFormat="1" ht="75" customHeight="1" x14ac:dyDescent="0.2">
      <c r="A28" s="388"/>
      <c r="B28" s="389" t="s">
        <v>791</v>
      </c>
      <c r="C28" s="969" t="s">
        <v>107</v>
      </c>
      <c r="D28" s="1778">
        <f>ROUND(262*(1-C43),2)</f>
        <v>262</v>
      </c>
      <c r="E28" s="1779" t="s">
        <v>17</v>
      </c>
    </row>
    <row r="29" spans="1:5" s="384" customFormat="1" ht="66" customHeight="1" x14ac:dyDescent="0.2">
      <c r="A29" s="388"/>
      <c r="B29" s="389" t="s">
        <v>792</v>
      </c>
      <c r="C29" s="969" t="s">
        <v>107</v>
      </c>
      <c r="D29" s="1778">
        <f>ROUND(131*(1-C43),2)</f>
        <v>131</v>
      </c>
      <c r="E29" s="1779">
        <f>ROUND(119*(1-C43),2)</f>
        <v>119</v>
      </c>
    </row>
    <row r="30" spans="1:5" s="384" customFormat="1" ht="66" customHeight="1" x14ac:dyDescent="0.2">
      <c r="A30" s="388"/>
      <c r="B30" s="389" t="s">
        <v>793</v>
      </c>
      <c r="C30" s="969" t="s">
        <v>107</v>
      </c>
      <c r="D30" s="1778">
        <f>ROUND(81*(1-C43),2)</f>
        <v>81</v>
      </c>
      <c r="E30" s="1779">
        <f>ROUND(75*(1-C43),2)</f>
        <v>75</v>
      </c>
    </row>
    <row r="31" spans="1:5" s="384" customFormat="1" ht="66" customHeight="1" x14ac:dyDescent="0.2">
      <c r="A31" s="388"/>
      <c r="B31" s="389" t="s">
        <v>794</v>
      </c>
      <c r="C31" s="969" t="s">
        <v>107</v>
      </c>
      <c r="D31" s="1778">
        <f>ROUND(69*(1-C43),2)</f>
        <v>69</v>
      </c>
      <c r="E31" s="1779">
        <f>ROUND(63*(1-C43),2)</f>
        <v>63</v>
      </c>
    </row>
    <row r="32" spans="1:5" s="384" customFormat="1" ht="33" customHeight="1" x14ac:dyDescent="0.4">
      <c r="A32" s="3488" t="s">
        <v>1760</v>
      </c>
      <c r="B32" s="3488"/>
      <c r="C32" s="3488"/>
      <c r="D32" s="3488"/>
      <c r="E32" s="3488"/>
    </row>
    <row r="33" spans="1:5" s="384" customFormat="1" ht="52.5" customHeight="1" x14ac:dyDescent="0.2">
      <c r="A33" s="360"/>
      <c r="B33" s="1840" t="s">
        <v>631</v>
      </c>
      <c r="C33" s="1779" t="s">
        <v>107</v>
      </c>
      <c r="D33" s="3472">
        <v>403</v>
      </c>
      <c r="E33" s="3472"/>
    </row>
    <row r="34" spans="1:5" s="384" customFormat="1" ht="52.5" customHeight="1" x14ac:dyDescent="0.2">
      <c r="A34" s="360"/>
      <c r="B34" s="1840" t="s">
        <v>3142</v>
      </c>
      <c r="C34" s="1781" t="s">
        <v>107</v>
      </c>
      <c r="D34" s="3489">
        <v>230</v>
      </c>
      <c r="E34" s="3489"/>
    </row>
    <row r="35" spans="1:5" s="384" customFormat="1" ht="57" customHeight="1" x14ac:dyDescent="0.2">
      <c r="A35" s="360"/>
      <c r="B35" s="1840" t="s">
        <v>774</v>
      </c>
      <c r="C35" s="1779" t="s">
        <v>107</v>
      </c>
      <c r="D35" s="3473">
        <v>8600</v>
      </c>
      <c r="E35" s="3473"/>
    </row>
    <row r="36" spans="1:5" s="384" customFormat="1" ht="49.5" customHeight="1" x14ac:dyDescent="0.2">
      <c r="A36" s="360"/>
      <c r="B36" s="1841" t="s">
        <v>2477</v>
      </c>
      <c r="C36" s="1779" t="s">
        <v>107</v>
      </c>
      <c r="D36" s="3473">
        <v>4400</v>
      </c>
      <c r="E36" s="3473"/>
    </row>
    <row r="37" spans="1:5" s="384" customFormat="1" ht="23.25" x14ac:dyDescent="0.35">
      <c r="A37" s="391" t="s">
        <v>795</v>
      </c>
      <c r="B37" s="390"/>
      <c r="C37" s="390"/>
      <c r="D37" s="390"/>
      <c r="E37" s="390"/>
    </row>
    <row r="38" spans="1:5" s="384" customFormat="1" ht="23.25" x14ac:dyDescent="0.35">
      <c r="A38" s="392" t="s">
        <v>3140</v>
      </c>
      <c r="B38" s="392"/>
      <c r="C38" s="390"/>
      <c r="D38" s="390"/>
      <c r="E38" s="393"/>
    </row>
    <row r="39" spans="1:5" s="384" customFormat="1" ht="23.25" x14ac:dyDescent="0.35">
      <c r="A39" s="392" t="s">
        <v>796</v>
      </c>
      <c r="B39" s="392"/>
      <c r="C39" s="390"/>
      <c r="D39" s="390"/>
      <c r="E39" s="390"/>
    </row>
    <row r="40" spans="1:5" s="384" customFormat="1" ht="23.25" x14ac:dyDescent="0.35">
      <c r="A40" s="394" t="s">
        <v>712</v>
      </c>
      <c r="B40" s="392"/>
      <c r="C40" s="390"/>
      <c r="D40" s="390"/>
      <c r="E40" s="390"/>
    </row>
    <row r="41" spans="1:5" s="384" customFormat="1" ht="23.25" customHeight="1" x14ac:dyDescent="0.2"/>
    <row r="42" spans="1:5" s="384" customFormat="1" ht="33.75" customHeight="1" x14ac:dyDescent="0.2">
      <c r="A42" s="2438" t="s">
        <v>66</v>
      </c>
      <c r="B42" s="2438"/>
      <c r="C42" s="3486" t="s">
        <v>797</v>
      </c>
      <c r="D42" s="3486"/>
    </row>
    <row r="43" spans="1:5" s="384" customFormat="1" ht="39.75" customHeight="1" x14ac:dyDescent="0.2">
      <c r="A43" s="2438"/>
      <c r="B43" s="2438"/>
      <c r="C43" s="3487">
        <v>0</v>
      </c>
      <c r="D43" s="3487"/>
    </row>
    <row r="44" spans="1:5" s="384" customFormat="1" x14ac:dyDescent="0.2"/>
  </sheetData>
  <mergeCells count="15">
    <mergeCell ref="A42:B43"/>
    <mergeCell ref="C42:D42"/>
    <mergeCell ref="C43:D43"/>
    <mergeCell ref="A32:E32"/>
    <mergeCell ref="D34:E34"/>
    <mergeCell ref="A1:E7"/>
    <mergeCell ref="D33:E33"/>
    <mergeCell ref="D35:E35"/>
    <mergeCell ref="D36:E36"/>
    <mergeCell ref="A8:E8"/>
    <mergeCell ref="D9:E9"/>
    <mergeCell ref="D10:E11"/>
    <mergeCell ref="B10:B12"/>
    <mergeCell ref="A10:A12"/>
    <mergeCell ref="C10:C12"/>
  </mergeCells>
  <printOptions horizontalCentered="1"/>
  <pageMargins left="0.47244094488188981" right="0" top="0" bottom="0" header="0" footer="0"/>
  <pageSetup paperSize="9" scale="45" orientation="portrait" r:id="rId1"/>
  <headerFooter>
    <oddFooter>&amp;R&amp;16Стр. &amp;P из  &amp;N
&amp;A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821"/>
  <sheetViews>
    <sheetView zoomScale="20" zoomScaleNormal="20" zoomScaleSheetLayoutView="20" workbookViewId="0">
      <selection activeCell="Q12" sqref="Q12"/>
    </sheetView>
  </sheetViews>
  <sheetFormatPr defaultRowHeight="12.75" x14ac:dyDescent="0.2"/>
  <cols>
    <col min="1" max="1" width="118" style="396" customWidth="1"/>
    <col min="2" max="2" width="37.85546875" style="398" customWidth="1"/>
    <col min="3" max="3" width="49.85546875" style="399" customWidth="1"/>
    <col min="4" max="4" width="38.7109375" style="398" customWidth="1"/>
    <col min="5" max="5" width="35" style="398" customWidth="1"/>
    <col min="6" max="6" width="14" style="398" customWidth="1"/>
    <col min="7" max="7" width="117.5703125" style="398" customWidth="1"/>
    <col min="8" max="8" width="52.28515625" style="398" customWidth="1"/>
    <col min="9" max="9" width="54.7109375" style="398" customWidth="1"/>
    <col min="10" max="10" width="8.7109375" style="400" customWidth="1"/>
    <col min="11" max="11" width="111.42578125" style="396" customWidth="1"/>
    <col min="12" max="12" width="59.7109375" style="396" customWidth="1"/>
    <col min="13" max="13" width="55.5703125" style="396" customWidth="1"/>
    <col min="14" max="14" width="56.28515625" style="396" customWidth="1"/>
    <col min="15" max="15" width="60.28515625" style="396" customWidth="1"/>
    <col min="16" max="16" width="71.42578125" style="396" customWidth="1"/>
    <col min="17" max="17" width="57.28515625" style="396" customWidth="1"/>
    <col min="18" max="18" width="55.85546875" style="396" customWidth="1"/>
    <col min="19" max="19" width="55.5703125" style="396" customWidth="1"/>
    <col min="20" max="21" width="9.140625" style="396"/>
    <col min="22" max="22" width="12.7109375" style="396" customWidth="1"/>
    <col min="23" max="26" width="9.140625" style="396"/>
    <col min="27" max="27" width="40.28515625" style="396" customWidth="1"/>
    <col min="28" max="16384" width="9.140625" style="396"/>
  </cols>
  <sheetData>
    <row r="1" spans="1:22" s="384" customFormat="1" ht="15" customHeight="1" x14ac:dyDescent="0.2">
      <c r="A1" s="2204"/>
      <c r="B1" s="2205"/>
      <c r="C1" s="2205"/>
      <c r="D1" s="2205"/>
      <c r="E1" s="2205"/>
      <c r="F1" s="2205"/>
      <c r="G1" s="2205"/>
      <c r="H1" s="2205"/>
      <c r="I1" s="2205"/>
      <c r="J1" s="2205"/>
      <c r="K1" s="2205"/>
      <c r="L1" s="2205"/>
      <c r="M1" s="2205"/>
      <c r="N1" s="2205"/>
      <c r="O1" s="2205"/>
      <c r="P1" s="2205"/>
      <c r="Q1" s="2205"/>
      <c r="R1" s="2207"/>
    </row>
    <row r="2" spans="1:22" s="401" customFormat="1" ht="15" customHeight="1" x14ac:dyDescent="0.2">
      <c r="A2" s="2206"/>
      <c r="B2" s="2207"/>
      <c r="C2" s="2207"/>
      <c r="D2" s="2207"/>
      <c r="E2" s="2207"/>
      <c r="F2" s="2207"/>
      <c r="G2" s="2207"/>
      <c r="H2" s="2207"/>
      <c r="I2" s="2207"/>
      <c r="J2" s="2207"/>
      <c r="K2" s="2207"/>
      <c r="L2" s="2207"/>
      <c r="M2" s="2207"/>
      <c r="N2" s="2207"/>
      <c r="O2" s="2207"/>
      <c r="P2" s="2207"/>
      <c r="Q2" s="2207"/>
      <c r="R2" s="2207"/>
    </row>
    <row r="3" spans="1:22" s="401" customFormat="1" ht="15" customHeight="1" x14ac:dyDescent="0.2">
      <c r="A3" s="2206"/>
      <c r="B3" s="2207"/>
      <c r="C3" s="2207"/>
      <c r="D3" s="2207"/>
      <c r="E3" s="2207"/>
      <c r="F3" s="2207"/>
      <c r="G3" s="2207"/>
      <c r="H3" s="2207"/>
      <c r="I3" s="2207"/>
      <c r="J3" s="2207"/>
      <c r="K3" s="2207"/>
      <c r="L3" s="2207"/>
      <c r="M3" s="2207"/>
      <c r="N3" s="2207"/>
      <c r="O3" s="2207"/>
      <c r="P3" s="2207"/>
      <c r="Q3" s="2207"/>
      <c r="R3" s="2207"/>
    </row>
    <row r="4" spans="1:22" s="401" customFormat="1" ht="15" customHeight="1" x14ac:dyDescent="0.2">
      <c r="A4" s="2206"/>
      <c r="B4" s="2207"/>
      <c r="C4" s="2207"/>
      <c r="D4" s="2207"/>
      <c r="E4" s="2207"/>
      <c r="F4" s="2207"/>
      <c r="G4" s="2207"/>
      <c r="H4" s="2207"/>
      <c r="I4" s="2207"/>
      <c r="J4" s="2207"/>
      <c r="K4" s="2207"/>
      <c r="L4" s="2207"/>
      <c r="M4" s="2207"/>
      <c r="N4" s="2207"/>
      <c r="O4" s="2207"/>
      <c r="P4" s="2207"/>
      <c r="Q4" s="2207"/>
      <c r="R4" s="2207"/>
    </row>
    <row r="5" spans="1:22" s="401" customFormat="1" ht="15" customHeight="1" x14ac:dyDescent="0.2">
      <c r="A5" s="2206"/>
      <c r="B5" s="2207"/>
      <c r="C5" s="2207"/>
      <c r="D5" s="2207"/>
      <c r="E5" s="2207"/>
      <c r="F5" s="2207"/>
      <c r="G5" s="2207"/>
      <c r="H5" s="2207"/>
      <c r="I5" s="2207"/>
      <c r="J5" s="2207"/>
      <c r="K5" s="2207"/>
      <c r="L5" s="2207"/>
      <c r="M5" s="2207"/>
      <c r="N5" s="2207"/>
      <c r="O5" s="2207"/>
      <c r="P5" s="2207"/>
      <c r="Q5" s="2207"/>
      <c r="R5" s="2207"/>
    </row>
    <row r="6" spans="1:22" s="401" customFormat="1" ht="15" customHeight="1" x14ac:dyDescent="0.2">
      <c r="A6" s="2206"/>
      <c r="B6" s="2207"/>
      <c r="C6" s="2207"/>
      <c r="D6" s="2207"/>
      <c r="E6" s="2207"/>
      <c r="F6" s="2207"/>
      <c r="G6" s="2207"/>
      <c r="H6" s="2207"/>
      <c r="I6" s="2207"/>
      <c r="J6" s="2207"/>
      <c r="K6" s="2207"/>
      <c r="L6" s="2207"/>
      <c r="M6" s="2207"/>
      <c r="N6" s="2207"/>
      <c r="O6" s="2207"/>
      <c r="P6" s="2207"/>
      <c r="Q6" s="2207"/>
      <c r="R6" s="2207"/>
    </row>
    <row r="7" spans="1:22" s="401" customFormat="1" ht="15" customHeight="1" x14ac:dyDescent="0.2">
      <c r="A7" s="2206"/>
      <c r="B7" s="2207"/>
      <c r="C7" s="2207"/>
      <c r="D7" s="2207"/>
      <c r="E7" s="2207"/>
      <c r="F7" s="2207"/>
      <c r="G7" s="2207"/>
      <c r="H7" s="2207"/>
      <c r="I7" s="2207"/>
      <c r="J7" s="2207"/>
      <c r="K7" s="2207"/>
      <c r="L7" s="2207"/>
      <c r="M7" s="2207"/>
      <c r="N7" s="2207"/>
      <c r="O7" s="2207"/>
      <c r="P7" s="2207"/>
      <c r="Q7" s="2207"/>
      <c r="R7" s="2207"/>
    </row>
    <row r="8" spans="1:22" s="401" customFormat="1" ht="15" customHeight="1" x14ac:dyDescent="0.2">
      <c r="A8" s="2206"/>
      <c r="B8" s="2207"/>
      <c r="C8" s="2207"/>
      <c r="D8" s="2207"/>
      <c r="E8" s="2207"/>
      <c r="F8" s="2207"/>
      <c r="G8" s="2207"/>
      <c r="H8" s="2207"/>
      <c r="I8" s="2207"/>
      <c r="J8" s="2207"/>
      <c r="K8" s="2207"/>
      <c r="L8" s="2207"/>
      <c r="M8" s="2207"/>
      <c r="N8" s="2207"/>
      <c r="O8" s="2207"/>
      <c r="P8" s="2207"/>
      <c r="Q8" s="2207"/>
      <c r="R8" s="2207"/>
    </row>
    <row r="9" spans="1:22" s="401" customFormat="1" ht="15" customHeight="1" x14ac:dyDescent="0.2">
      <c r="A9" s="2206"/>
      <c r="B9" s="2207"/>
      <c r="C9" s="2207"/>
      <c r="D9" s="2207"/>
      <c r="E9" s="2207"/>
      <c r="F9" s="2207"/>
      <c r="G9" s="2207"/>
      <c r="H9" s="2207"/>
      <c r="I9" s="2207"/>
      <c r="J9" s="2207"/>
      <c r="K9" s="2207"/>
      <c r="L9" s="2207"/>
      <c r="M9" s="2207"/>
      <c r="N9" s="2207"/>
      <c r="O9" s="2207"/>
      <c r="P9" s="2207"/>
      <c r="Q9" s="2207"/>
      <c r="R9" s="2207"/>
    </row>
    <row r="10" spans="1:22" s="401" customFormat="1" ht="183" customHeight="1" thickBot="1" x14ac:dyDescent="0.25">
      <c r="A10" s="2208"/>
      <c r="B10" s="2209"/>
      <c r="C10" s="2209"/>
      <c r="D10" s="2209"/>
      <c r="E10" s="2209"/>
      <c r="F10" s="2209"/>
      <c r="G10" s="2209"/>
      <c r="H10" s="2209"/>
      <c r="I10" s="2209"/>
      <c r="J10" s="2209"/>
      <c r="K10" s="2209"/>
      <c r="L10" s="2209"/>
      <c r="M10" s="2209"/>
      <c r="N10" s="2209"/>
      <c r="O10" s="2209"/>
      <c r="P10" s="2209"/>
      <c r="Q10" s="2209"/>
      <c r="R10" s="2209"/>
      <c r="S10" s="2209"/>
    </row>
    <row r="11" spans="1:22" s="401" customFormat="1" ht="75.75" customHeight="1" x14ac:dyDescent="1.05">
      <c r="A11" s="3615" t="s">
        <v>798</v>
      </c>
      <c r="B11" s="3615"/>
      <c r="C11" s="3615"/>
      <c r="D11" s="3615"/>
      <c r="E11" s="3615"/>
      <c r="F11" s="3615"/>
      <c r="G11" s="3615"/>
      <c r="H11" s="3615"/>
      <c r="I11" s="3615"/>
      <c r="J11" s="3615"/>
      <c r="K11" s="3615"/>
      <c r="L11" s="3615"/>
      <c r="M11" s="3615"/>
      <c r="N11" s="3615"/>
      <c r="O11" s="3615"/>
      <c r="P11" s="3615"/>
      <c r="Q11" s="3615"/>
      <c r="R11" s="1957"/>
      <c r="S11" s="403"/>
      <c r="T11" s="403"/>
    </row>
    <row r="12" spans="1:22" s="401" customFormat="1" ht="55.5" customHeight="1" x14ac:dyDescent="0.25">
      <c r="A12" s="3616"/>
      <c r="B12" s="3616"/>
      <c r="C12" s="404"/>
      <c r="D12" s="405"/>
      <c r="E12" s="405"/>
      <c r="F12" s="402"/>
      <c r="G12" s="402"/>
      <c r="H12" s="402"/>
      <c r="I12" s="402"/>
      <c r="J12" s="406"/>
      <c r="K12" s="403"/>
      <c r="Q12" s="1160" t="s">
        <v>68</v>
      </c>
      <c r="R12" s="1161">
        <v>42520</v>
      </c>
      <c r="S12" s="407"/>
      <c r="T12" s="407"/>
      <c r="U12" s="407"/>
      <c r="V12" s="407"/>
    </row>
    <row r="13" spans="1:22" s="401" customFormat="1" ht="59.25" customHeight="1" x14ac:dyDescent="0.25">
      <c r="A13" s="3617" t="s">
        <v>399</v>
      </c>
      <c r="B13" s="3617" t="s">
        <v>799</v>
      </c>
      <c r="C13" s="2139" t="s">
        <v>800</v>
      </c>
      <c r="D13" s="3619" t="s">
        <v>365</v>
      </c>
      <c r="E13" s="3620" t="s">
        <v>801</v>
      </c>
      <c r="F13" s="3621"/>
      <c r="G13" s="3619" t="s">
        <v>802</v>
      </c>
      <c r="H13" s="3624" t="s">
        <v>276</v>
      </c>
      <c r="I13" s="3624"/>
      <c r="J13" s="931"/>
      <c r="K13" s="3619" t="s">
        <v>399</v>
      </c>
      <c r="L13" s="3619" t="s">
        <v>799</v>
      </c>
      <c r="M13" s="3619" t="s">
        <v>365</v>
      </c>
      <c r="N13" s="3625" t="s">
        <v>801</v>
      </c>
      <c r="O13" s="3492" t="s">
        <v>276</v>
      </c>
      <c r="P13" s="3492"/>
      <c r="Q13" s="3492"/>
      <c r="R13" s="3492"/>
      <c r="S13" s="3492"/>
    </row>
    <row r="14" spans="1:22" s="401" customFormat="1" ht="166.5" customHeight="1" x14ac:dyDescent="0.25">
      <c r="A14" s="3618"/>
      <c r="B14" s="3618"/>
      <c r="C14" s="932" t="s">
        <v>804</v>
      </c>
      <c r="D14" s="3601"/>
      <c r="E14" s="3622"/>
      <c r="F14" s="3623"/>
      <c r="G14" s="3592"/>
      <c r="H14" s="933" t="s">
        <v>107</v>
      </c>
      <c r="I14" s="933" t="s">
        <v>805</v>
      </c>
      <c r="J14" s="934"/>
      <c r="K14" s="3618"/>
      <c r="L14" s="3618"/>
      <c r="M14" s="3618"/>
      <c r="N14" s="3626"/>
      <c r="O14" s="2020" t="s">
        <v>1698</v>
      </c>
      <c r="P14" s="2020" t="s">
        <v>2908</v>
      </c>
      <c r="Q14" s="932" t="s">
        <v>806</v>
      </c>
      <c r="R14" s="2020" t="s">
        <v>2948</v>
      </c>
      <c r="S14" s="2020" t="s">
        <v>3209</v>
      </c>
    </row>
    <row r="15" spans="1:22" s="401" customFormat="1" ht="218.25" customHeight="1" x14ac:dyDescent="0.25">
      <c r="A15" s="3607" t="s">
        <v>807</v>
      </c>
      <c r="B15" s="3595"/>
      <c r="C15" s="3534">
        <v>0.224</v>
      </c>
      <c r="D15" s="3537">
        <v>3.6</v>
      </c>
      <c r="E15" s="3540">
        <v>22</v>
      </c>
      <c r="F15" s="3541"/>
      <c r="G15" s="1773" t="s">
        <v>808</v>
      </c>
      <c r="H15" s="1884">
        <f>ROUND(194*(1-C57),2)</f>
        <v>194</v>
      </c>
      <c r="I15" s="1855">
        <f>ROUND(240*(1-C57),2)</f>
        <v>240</v>
      </c>
      <c r="J15" s="935"/>
      <c r="K15" s="936" t="s">
        <v>809</v>
      </c>
      <c r="L15" s="1772"/>
      <c r="M15" s="1953">
        <v>3</v>
      </c>
      <c r="N15" s="1954">
        <v>24</v>
      </c>
      <c r="O15" s="1949">
        <f>ROUND(525*(1-L57),2)</f>
        <v>525</v>
      </c>
      <c r="P15" s="1949">
        <f>ROUND(605*(1-L57),2)</f>
        <v>605</v>
      </c>
      <c r="Q15" s="1949">
        <f>ROUND(625*(1-L57),2)</f>
        <v>625</v>
      </c>
      <c r="R15" s="2388">
        <v>843</v>
      </c>
      <c r="S15" s="2191">
        <v>820</v>
      </c>
    </row>
    <row r="16" spans="1:22" s="401" customFormat="1" ht="106.5" customHeight="1" x14ac:dyDescent="0.25">
      <c r="A16" s="3608"/>
      <c r="B16" s="3596"/>
      <c r="C16" s="3535"/>
      <c r="D16" s="3538"/>
      <c r="E16" s="3542"/>
      <c r="F16" s="3543"/>
      <c r="G16" s="3605" t="s">
        <v>2908</v>
      </c>
      <c r="H16" s="3521">
        <f>ROUND(232*(1-C57),2)</f>
        <v>232</v>
      </c>
      <c r="I16" s="3521">
        <f>ROUND(287*(1-C57),2)</f>
        <v>287</v>
      </c>
      <c r="J16" s="935"/>
      <c r="K16" s="3603" t="s">
        <v>810</v>
      </c>
      <c r="L16" s="3506"/>
      <c r="M16" s="3512">
        <v>3</v>
      </c>
      <c r="N16" s="3510">
        <v>51</v>
      </c>
      <c r="O16" s="3505">
        <f>ROUND(204*(1-L57),2)</f>
        <v>204</v>
      </c>
      <c r="P16" s="3505">
        <f>ROUND(234*(1-L57),2)</f>
        <v>234</v>
      </c>
      <c r="Q16" s="3505">
        <f>ROUND(242*(1-L57),2)</f>
        <v>242</v>
      </c>
      <c r="R16" s="3496">
        <v>327</v>
      </c>
      <c r="S16" s="3490">
        <v>360</v>
      </c>
    </row>
    <row r="17" spans="1:19" s="401" customFormat="1" ht="48.75" customHeight="1" x14ac:dyDescent="0.25">
      <c r="A17" s="3627"/>
      <c r="B17" s="3596"/>
      <c r="C17" s="3535"/>
      <c r="D17" s="3538"/>
      <c r="E17" s="3542"/>
      <c r="F17" s="3543"/>
      <c r="G17" s="3628"/>
      <c r="H17" s="3601"/>
      <c r="I17" s="3602"/>
      <c r="J17" s="935"/>
      <c r="K17" s="3604"/>
      <c r="L17" s="3507"/>
      <c r="M17" s="3513"/>
      <c r="N17" s="3511"/>
      <c r="O17" s="3505"/>
      <c r="P17" s="3505"/>
      <c r="Q17" s="3505"/>
      <c r="R17" s="3497"/>
      <c r="S17" s="3491"/>
    </row>
    <row r="18" spans="1:19" s="401" customFormat="1" ht="168.75" customHeight="1" x14ac:dyDescent="0.25">
      <c r="A18" s="2141" t="s">
        <v>2944</v>
      </c>
      <c r="B18" s="3596"/>
      <c r="C18" s="3535"/>
      <c r="D18" s="3538"/>
      <c r="E18" s="3542"/>
      <c r="F18" s="3543"/>
      <c r="G18" s="1955" t="s">
        <v>2943</v>
      </c>
      <c r="H18" s="2349">
        <f>ROUND(334*(1-C57),2)</f>
        <v>334</v>
      </c>
      <c r="I18" s="2350">
        <f>ROUND(414*(1-D57),2)</f>
        <v>414</v>
      </c>
      <c r="J18" s="935"/>
      <c r="K18" s="1956" t="s">
        <v>827</v>
      </c>
      <c r="L18" s="1950"/>
      <c r="M18" s="1951">
        <v>3.05</v>
      </c>
      <c r="N18" s="1952">
        <v>20</v>
      </c>
      <c r="O18" s="1949" t="str">
        <f>ROUND(525*(1-L57),2)&amp;"*"</f>
        <v>525*</v>
      </c>
      <c r="P18" s="2021" t="s">
        <v>17</v>
      </c>
      <c r="Q18" s="1949">
        <f>ROUND(625*(1-L57),2)</f>
        <v>625</v>
      </c>
      <c r="R18" s="2388">
        <v>843</v>
      </c>
      <c r="S18" s="2191">
        <v>810</v>
      </c>
    </row>
    <row r="19" spans="1:19" s="401" customFormat="1" ht="179.25" customHeight="1" x14ac:dyDescent="0.25">
      <c r="A19" s="2141" t="s">
        <v>3186</v>
      </c>
      <c r="B19" s="3597"/>
      <c r="C19" s="3536"/>
      <c r="D19" s="3539"/>
      <c r="E19" s="3544"/>
      <c r="F19" s="3545"/>
      <c r="G19" s="2136" t="s">
        <v>3187</v>
      </c>
      <c r="H19" s="2385">
        <f>ROUND(423*(1-C57),2)</f>
        <v>423</v>
      </c>
      <c r="I19" s="2380">
        <f>ROUND(522*(1-C57),2)</f>
        <v>522</v>
      </c>
      <c r="J19" s="935"/>
      <c r="K19" s="3599" t="s">
        <v>832</v>
      </c>
      <c r="L19" s="3518"/>
      <c r="M19" s="3519">
        <v>3</v>
      </c>
      <c r="N19" s="3500">
        <v>60</v>
      </c>
      <c r="O19" s="3505" t="str">
        <f>ROUND(224*(1-L57),2)&amp;"*"</f>
        <v>224*</v>
      </c>
      <c r="P19" s="3505" t="s">
        <v>17</v>
      </c>
      <c r="Q19" s="3505" t="s">
        <v>17</v>
      </c>
      <c r="R19" s="3613" t="s">
        <v>17</v>
      </c>
      <c r="S19" s="3505" t="s">
        <v>17</v>
      </c>
    </row>
    <row r="20" spans="1:19" s="401" customFormat="1" ht="104.25" customHeight="1" x14ac:dyDescent="0.25">
      <c r="A20" s="3612" t="s">
        <v>811</v>
      </c>
      <c r="B20" s="3595"/>
      <c r="C20" s="3534">
        <v>0.20300000000000001</v>
      </c>
      <c r="D20" s="3537">
        <v>3</v>
      </c>
      <c r="E20" s="3540">
        <v>22</v>
      </c>
      <c r="F20" s="3541"/>
      <c r="G20" s="3515" t="s">
        <v>812</v>
      </c>
      <c r="H20" s="3520">
        <f>ROUND(147*(1-D57),2)</f>
        <v>147</v>
      </c>
      <c r="I20" s="3520">
        <f>ROUND(240*(1-D57),2)</f>
        <v>240</v>
      </c>
      <c r="J20" s="935"/>
      <c r="K20" s="3600"/>
      <c r="L20" s="3518"/>
      <c r="M20" s="3519"/>
      <c r="N20" s="3500"/>
      <c r="O20" s="3505"/>
      <c r="P20" s="3505"/>
      <c r="Q20" s="3505"/>
      <c r="R20" s="3613"/>
      <c r="S20" s="3505"/>
    </row>
    <row r="21" spans="1:19" s="401" customFormat="1" ht="108.75" customHeight="1" x14ac:dyDescent="0.25">
      <c r="A21" s="3612"/>
      <c r="B21" s="3596"/>
      <c r="C21" s="3535"/>
      <c r="D21" s="3538"/>
      <c r="E21" s="3542"/>
      <c r="F21" s="3543"/>
      <c r="G21" s="3515"/>
      <c r="H21" s="3520"/>
      <c r="I21" s="3520"/>
      <c r="J21" s="935"/>
      <c r="K21" s="3503" t="s">
        <v>813</v>
      </c>
      <c r="L21" s="3506"/>
      <c r="M21" s="1953">
        <v>3.6</v>
      </c>
      <c r="N21" s="1954">
        <v>50</v>
      </c>
      <c r="O21" s="1949">
        <f>ROUND(168*(1-L57),2)</f>
        <v>168</v>
      </c>
      <c r="P21" s="1949" t="s">
        <v>17</v>
      </c>
      <c r="Q21" s="1949">
        <f>ROUND(202*(1-L57),2)</f>
        <v>202</v>
      </c>
      <c r="R21" s="3496">
        <v>271</v>
      </c>
      <c r="S21" s="3490">
        <v>320</v>
      </c>
    </row>
    <row r="22" spans="1:19" s="401" customFormat="1" ht="81.75" customHeight="1" x14ac:dyDescent="0.25">
      <c r="A22" s="3612"/>
      <c r="B22" s="3596"/>
      <c r="C22" s="3535"/>
      <c r="D22" s="3538"/>
      <c r="E22" s="3542"/>
      <c r="F22" s="3543"/>
      <c r="G22" s="3605" t="s">
        <v>2908</v>
      </c>
      <c r="H22" s="3521">
        <f>ROUND(176*(1-D57),2)</f>
        <v>176</v>
      </c>
      <c r="I22" s="3521">
        <f>ROUND(287*(1-D57),2)</f>
        <v>287</v>
      </c>
      <c r="J22" s="935"/>
      <c r="K22" s="3504"/>
      <c r="L22" s="3507"/>
      <c r="M22" s="1953">
        <v>3</v>
      </c>
      <c r="N22" s="1954">
        <v>50</v>
      </c>
      <c r="O22" s="1949">
        <f>ROUND(168*(1-L57),2)</f>
        <v>168</v>
      </c>
      <c r="P22" s="1949">
        <f>ROUND(194*(1-L57),2)</f>
        <v>194</v>
      </c>
      <c r="Q22" s="1949">
        <f>ROUND(202*(1-L57),2)</f>
        <v>202</v>
      </c>
      <c r="R22" s="3497"/>
      <c r="S22" s="3491"/>
    </row>
    <row r="23" spans="1:19" s="401" customFormat="1" ht="145.5" customHeight="1" x14ac:dyDescent="0.25">
      <c r="A23" s="3612"/>
      <c r="B23" s="3596"/>
      <c r="C23" s="3535"/>
      <c r="D23" s="3538"/>
      <c r="E23" s="3542"/>
      <c r="F23" s="3543"/>
      <c r="G23" s="3606"/>
      <c r="H23" s="3522"/>
      <c r="I23" s="3522"/>
      <c r="J23" s="935"/>
      <c r="K23" s="3503" t="s">
        <v>814</v>
      </c>
      <c r="L23" s="1769"/>
      <c r="M23" s="3512">
        <v>3</v>
      </c>
      <c r="N23" s="3510">
        <v>40</v>
      </c>
      <c r="O23" s="3505" t="str">
        <f>ROUND(164*(1-L57),2)&amp;"*"</f>
        <v>164*</v>
      </c>
      <c r="P23" s="3505" t="s">
        <v>17</v>
      </c>
      <c r="Q23" s="3505" t="s">
        <v>17</v>
      </c>
      <c r="R23" s="3496" t="s">
        <v>17</v>
      </c>
      <c r="S23" s="3490" t="s">
        <v>17</v>
      </c>
    </row>
    <row r="24" spans="1:19" s="401" customFormat="1" ht="145.5" customHeight="1" x14ac:dyDescent="0.25">
      <c r="A24" s="2141" t="s">
        <v>2947</v>
      </c>
      <c r="B24" s="3596"/>
      <c r="C24" s="3535"/>
      <c r="D24" s="3538"/>
      <c r="E24" s="3542"/>
      <c r="F24" s="3543"/>
      <c r="G24" s="2140" t="s">
        <v>2943</v>
      </c>
      <c r="H24" s="2386">
        <f>ROUND(254*(1-D57),2)</f>
        <v>254</v>
      </c>
      <c r="I24" s="2386">
        <f>ROUND(417*(1-D57),2)</f>
        <v>417</v>
      </c>
      <c r="J24" s="935"/>
      <c r="K24" s="3504"/>
      <c r="L24" s="1770"/>
      <c r="M24" s="3513"/>
      <c r="N24" s="3511"/>
      <c r="O24" s="3505"/>
      <c r="P24" s="3505"/>
      <c r="Q24" s="3505"/>
      <c r="R24" s="3497"/>
      <c r="S24" s="3491"/>
    </row>
    <row r="25" spans="1:19" s="401" customFormat="1" ht="134.25" customHeight="1" x14ac:dyDescent="0.25">
      <c r="A25" s="2193" t="s">
        <v>3188</v>
      </c>
      <c r="B25" s="3597"/>
      <c r="C25" s="3536"/>
      <c r="D25" s="3539"/>
      <c r="E25" s="3544"/>
      <c r="F25" s="3545"/>
      <c r="G25" s="2192" t="s">
        <v>3187</v>
      </c>
      <c r="H25" s="2378">
        <v>324</v>
      </c>
      <c r="I25" s="2378">
        <v>443</v>
      </c>
      <c r="J25" s="935"/>
      <c r="K25" s="3503" t="s">
        <v>817</v>
      </c>
      <c r="L25" s="3506"/>
      <c r="M25" s="3512">
        <v>3</v>
      </c>
      <c r="N25" s="3510">
        <v>10</v>
      </c>
      <c r="O25" s="3505">
        <f>ROUND(576*(1-L57),2)</f>
        <v>576</v>
      </c>
      <c r="P25" s="3505">
        <f>ROUND(664*(1-L57),2)</f>
        <v>664</v>
      </c>
      <c r="Q25" s="3505">
        <f>ROUND(679*(1-L57),2)</f>
        <v>679</v>
      </c>
      <c r="R25" s="3496">
        <v>918</v>
      </c>
      <c r="S25" s="3490">
        <v>880</v>
      </c>
    </row>
    <row r="26" spans="1:19" s="401" customFormat="1" ht="78.75" customHeight="1" x14ac:dyDescent="0.25">
      <c r="A26" s="3612" t="s">
        <v>815</v>
      </c>
      <c r="B26" s="3595"/>
      <c r="C26" s="3534">
        <v>0.24399999999999999</v>
      </c>
      <c r="D26" s="3537">
        <v>3</v>
      </c>
      <c r="E26" s="3540">
        <v>22</v>
      </c>
      <c r="F26" s="3541"/>
      <c r="G26" s="1773" t="s">
        <v>816</v>
      </c>
      <c r="H26" s="2379">
        <f>ROUND(213*(1-E57),2)</f>
        <v>213</v>
      </c>
      <c r="I26" s="2379">
        <f>ROUND(292*(1-E57),2)</f>
        <v>292</v>
      </c>
      <c r="J26" s="935"/>
      <c r="K26" s="3504"/>
      <c r="L26" s="3507"/>
      <c r="M26" s="3513"/>
      <c r="N26" s="3511"/>
      <c r="O26" s="3505"/>
      <c r="P26" s="3505"/>
      <c r="Q26" s="3505"/>
      <c r="R26" s="3497"/>
      <c r="S26" s="3491"/>
    </row>
    <row r="27" spans="1:19" s="401" customFormat="1" ht="168.75" customHeight="1" x14ac:dyDescent="0.25">
      <c r="A27" s="3612"/>
      <c r="B27" s="3596"/>
      <c r="C27" s="3535"/>
      <c r="D27" s="3538"/>
      <c r="E27" s="3542"/>
      <c r="F27" s="3543"/>
      <c r="G27" s="3605" t="s">
        <v>3145</v>
      </c>
      <c r="H27" s="3611">
        <f>ROUND(256*(1-E57),2)</f>
        <v>256</v>
      </c>
      <c r="I27" s="3520">
        <f>ROUND(351*(1-E57),2)</f>
        <v>351</v>
      </c>
      <c r="J27" s="935"/>
      <c r="K27" s="2016" t="s">
        <v>818</v>
      </c>
      <c r="L27" s="937"/>
      <c r="M27" s="1953">
        <v>3</v>
      </c>
      <c r="N27" s="1954">
        <v>20</v>
      </c>
      <c r="O27" s="1949">
        <f>ROUND(507*(1-L57),2)</f>
        <v>507</v>
      </c>
      <c r="P27" s="1949">
        <f>ROUND(585*(1-L57),2)</f>
        <v>585</v>
      </c>
      <c r="Q27" s="1949">
        <f>ROUND(605*(1-L57),2)</f>
        <v>605</v>
      </c>
      <c r="R27" s="2388">
        <v>818</v>
      </c>
      <c r="S27" s="2191">
        <v>780</v>
      </c>
    </row>
    <row r="28" spans="1:19" s="401" customFormat="1" ht="56.25" customHeight="1" x14ac:dyDescent="0.25">
      <c r="A28" s="3612"/>
      <c r="B28" s="3596"/>
      <c r="C28" s="3535"/>
      <c r="D28" s="3538"/>
      <c r="E28" s="3542"/>
      <c r="F28" s="3543"/>
      <c r="G28" s="3606"/>
      <c r="H28" s="3611"/>
      <c r="I28" s="3520"/>
      <c r="J28" s="935"/>
      <c r="K28" s="3508" t="s">
        <v>821</v>
      </c>
      <c r="L28" s="3506"/>
      <c r="M28" s="3512">
        <v>3</v>
      </c>
      <c r="N28" s="3510">
        <v>50</v>
      </c>
      <c r="O28" s="3505">
        <f>ROUND(300*(1-L57),2)</f>
        <v>300</v>
      </c>
      <c r="P28" s="3505" t="s">
        <v>17</v>
      </c>
      <c r="Q28" s="3505" t="s">
        <v>17</v>
      </c>
      <c r="R28" s="3496" t="s">
        <v>17</v>
      </c>
      <c r="S28" s="3490" t="s">
        <v>17</v>
      </c>
    </row>
    <row r="29" spans="1:19" s="401" customFormat="1" ht="172.5" customHeight="1" x14ac:dyDescent="0.25">
      <c r="A29" s="2141" t="s">
        <v>2945</v>
      </c>
      <c r="B29" s="3596"/>
      <c r="C29" s="3535"/>
      <c r="D29" s="3538"/>
      <c r="E29" s="3542"/>
      <c r="F29" s="3543"/>
      <c r="G29" s="1955" t="s">
        <v>2943</v>
      </c>
      <c r="H29" s="2387">
        <f>ROUND(411*(1-E57),2)</f>
        <v>411</v>
      </c>
      <c r="I29" s="2350">
        <f>ROUND(561*(1-E57),2)</f>
        <v>561</v>
      </c>
      <c r="J29" s="935"/>
      <c r="K29" s="3509"/>
      <c r="L29" s="3507"/>
      <c r="M29" s="3513"/>
      <c r="N29" s="3511"/>
      <c r="O29" s="3505"/>
      <c r="P29" s="3505"/>
      <c r="Q29" s="3505"/>
      <c r="R29" s="3497"/>
      <c r="S29" s="3491"/>
    </row>
    <row r="30" spans="1:19" s="401" customFormat="1" ht="202.5" customHeight="1" x14ac:dyDescent="0.25">
      <c r="A30" s="2141" t="s">
        <v>3189</v>
      </c>
      <c r="B30" s="3597"/>
      <c r="C30" s="3536"/>
      <c r="D30" s="3539"/>
      <c r="E30" s="3544"/>
      <c r="F30" s="3545"/>
      <c r="G30" s="2137" t="s">
        <v>3187</v>
      </c>
      <c r="H30" s="2381">
        <f>ROUND(468*(1-E57),2)</f>
        <v>468</v>
      </c>
      <c r="I30" s="2380">
        <f>ROUND(639*(1-E57),2)</f>
        <v>639</v>
      </c>
      <c r="J30" s="935"/>
      <c r="K30" s="3503" t="s">
        <v>823</v>
      </c>
      <c r="L30" s="3506"/>
      <c r="M30" s="3512">
        <v>3</v>
      </c>
      <c r="N30" s="3510">
        <v>24</v>
      </c>
      <c r="O30" s="3505" t="str">
        <f>ROUND(525*(1-L57),2)&amp;"*"</f>
        <v>525*</v>
      </c>
      <c r="P30" s="3505" t="s">
        <v>17</v>
      </c>
      <c r="Q30" s="3505">
        <f>ROUND(625*(1-L57),2)</f>
        <v>625</v>
      </c>
      <c r="R30" s="3496" t="s">
        <v>17</v>
      </c>
      <c r="S30" s="3490" t="s">
        <v>17</v>
      </c>
    </row>
    <row r="31" spans="1:19" s="401" customFormat="1" ht="93.75" customHeight="1" x14ac:dyDescent="0.25">
      <c r="A31" s="3607" t="s">
        <v>819</v>
      </c>
      <c r="B31" s="3595"/>
      <c r="C31" s="3534">
        <v>0.16</v>
      </c>
      <c r="D31" s="3537">
        <v>3</v>
      </c>
      <c r="E31" s="3609">
        <v>22</v>
      </c>
      <c r="F31" s="3609"/>
      <c r="G31" s="3515" t="s">
        <v>820</v>
      </c>
      <c r="H31" s="3520">
        <f>ROUND(144*(1-G57),2)</f>
        <v>144</v>
      </c>
      <c r="I31" s="3520">
        <f>ROUND(300*(1-G57),2)</f>
        <v>300</v>
      </c>
      <c r="J31" s="935"/>
      <c r="K31" s="3504"/>
      <c r="L31" s="3507"/>
      <c r="M31" s="3513"/>
      <c r="N31" s="3511"/>
      <c r="O31" s="3505"/>
      <c r="P31" s="3505"/>
      <c r="Q31" s="3505"/>
      <c r="R31" s="3497"/>
      <c r="S31" s="3491"/>
    </row>
    <row r="32" spans="1:19" s="401" customFormat="1" ht="110.25" customHeight="1" x14ac:dyDescent="0.25">
      <c r="A32" s="3608"/>
      <c r="B32" s="3596"/>
      <c r="C32" s="3535"/>
      <c r="D32" s="3538"/>
      <c r="E32" s="3610"/>
      <c r="F32" s="3610"/>
      <c r="G32" s="3515"/>
      <c r="H32" s="3520"/>
      <c r="I32" s="3520"/>
      <c r="J32" s="935"/>
      <c r="K32" s="3598" t="s">
        <v>829</v>
      </c>
      <c r="L32" s="3506"/>
      <c r="M32" s="3512">
        <v>3.05</v>
      </c>
      <c r="N32" s="3523">
        <v>12</v>
      </c>
      <c r="O32" s="3514" t="str">
        <f>ROUND(525*(1-L57),2)&amp;"*"</f>
        <v>525*</v>
      </c>
      <c r="P32" s="3505" t="s">
        <v>17</v>
      </c>
      <c r="Q32" s="3514">
        <f>ROUND(625*(1-L57),2)</f>
        <v>625</v>
      </c>
      <c r="R32" s="3498">
        <v>843</v>
      </c>
      <c r="S32" s="3494">
        <v>850</v>
      </c>
    </row>
    <row r="33" spans="1:19" s="401" customFormat="1" ht="107.25" customHeight="1" x14ac:dyDescent="0.25">
      <c r="A33" s="3608"/>
      <c r="B33" s="3596"/>
      <c r="C33" s="3535"/>
      <c r="D33" s="3538"/>
      <c r="E33" s="3610"/>
      <c r="F33" s="3610"/>
      <c r="G33" s="3515"/>
      <c r="H33" s="3520"/>
      <c r="I33" s="3520"/>
      <c r="J33" s="935"/>
      <c r="K33" s="3598"/>
      <c r="L33" s="3507"/>
      <c r="M33" s="3513"/>
      <c r="N33" s="3524"/>
      <c r="O33" s="3514"/>
      <c r="P33" s="3505"/>
      <c r="Q33" s="3514"/>
      <c r="R33" s="3499"/>
      <c r="S33" s="3495"/>
    </row>
    <row r="34" spans="1:19" s="401" customFormat="1" ht="103.5" customHeight="1" x14ac:dyDescent="0.25">
      <c r="A34" s="939" t="s">
        <v>822</v>
      </c>
      <c r="B34" s="940"/>
      <c r="C34" s="940"/>
      <c r="D34" s="940"/>
      <c r="E34" s="940"/>
      <c r="F34" s="940"/>
      <c r="G34" s="940"/>
      <c r="H34" s="940"/>
      <c r="I34" s="941"/>
      <c r="J34" s="935"/>
      <c r="K34" s="3582" t="s">
        <v>830</v>
      </c>
      <c r="L34" s="3506"/>
      <c r="M34" s="3593">
        <v>3</v>
      </c>
      <c r="N34" s="3591">
        <v>36</v>
      </c>
      <c r="O34" s="3505" t="str">
        <f>ROUND(404*(1-L57),2)&amp;"*"</f>
        <v>404*</v>
      </c>
      <c r="P34" s="3505" t="s">
        <v>17</v>
      </c>
      <c r="Q34" s="3505">
        <f>ROUND(485*(1-L57),2)</f>
        <v>485</v>
      </c>
      <c r="R34" s="3496">
        <v>609</v>
      </c>
      <c r="S34" s="3490" t="s">
        <v>17</v>
      </c>
    </row>
    <row r="35" spans="1:19" s="401" customFormat="1" ht="103.5" customHeight="1" x14ac:dyDescent="0.25">
      <c r="A35" s="942" t="s">
        <v>824</v>
      </c>
      <c r="B35" s="943"/>
      <c r="C35" s="3534">
        <v>0.30299999999999999</v>
      </c>
      <c r="D35" s="3586">
        <v>3</v>
      </c>
      <c r="E35" s="3540">
        <v>22</v>
      </c>
      <c r="F35" s="3541"/>
      <c r="G35" s="1768" t="s">
        <v>825</v>
      </c>
      <c r="H35" s="1860">
        <f>ROUND(485*(1-H57),2)</f>
        <v>485</v>
      </c>
      <c r="I35" s="1855">
        <f>ROUND(H35/(C35*D35),2)</f>
        <v>533.54999999999995</v>
      </c>
      <c r="J35" s="944"/>
      <c r="K35" s="3583"/>
      <c r="L35" s="3507"/>
      <c r="M35" s="3594"/>
      <c r="N35" s="3592"/>
      <c r="O35" s="3505"/>
      <c r="P35" s="3505"/>
      <c r="Q35" s="3505"/>
      <c r="R35" s="3497"/>
      <c r="S35" s="3491"/>
    </row>
    <row r="36" spans="1:19" s="401" customFormat="1" ht="106.5" x14ac:dyDescent="0.25">
      <c r="A36" s="942" t="s">
        <v>826</v>
      </c>
      <c r="B36" s="1771"/>
      <c r="C36" s="3536"/>
      <c r="D36" s="3587"/>
      <c r="E36" s="3542"/>
      <c r="F36" s="3543"/>
      <c r="G36" s="1768" t="s">
        <v>806</v>
      </c>
      <c r="H36" s="1861">
        <f>ROUND(618*(1-H57),2)</f>
        <v>618</v>
      </c>
      <c r="I36" s="1855">
        <f>ROUND(H36/(C35*D35),2)</f>
        <v>679.87</v>
      </c>
      <c r="J36" s="2017"/>
      <c r="K36" s="3492" t="s">
        <v>3217</v>
      </c>
      <c r="L36" s="3492"/>
      <c r="M36" s="3492"/>
      <c r="N36" s="3492"/>
      <c r="O36" s="3492"/>
      <c r="P36" s="3492"/>
      <c r="Q36" s="3492"/>
      <c r="R36" s="3492"/>
      <c r="S36" s="3492"/>
    </row>
    <row r="37" spans="1:19" s="401" customFormat="1" ht="106.5" x14ac:dyDescent="0.25">
      <c r="A37" s="942" t="s">
        <v>828</v>
      </c>
      <c r="B37" s="943"/>
      <c r="C37" s="3534">
        <v>0.22900000000000001</v>
      </c>
      <c r="D37" s="3587"/>
      <c r="E37" s="3542"/>
      <c r="F37" s="3543"/>
      <c r="G37" s="1768" t="s">
        <v>825</v>
      </c>
      <c r="H37" s="1860">
        <f>ROUND(367*(1-J57),2)</f>
        <v>367</v>
      </c>
      <c r="I37" s="1855">
        <f>ROUND(H37/(C37*D35),2)</f>
        <v>534.21</v>
      </c>
      <c r="J37" s="935"/>
      <c r="K37" s="3516" t="s">
        <v>1699</v>
      </c>
      <c r="L37" s="3518"/>
      <c r="M37" s="3519">
        <v>3</v>
      </c>
      <c r="N37" s="3500">
        <v>45</v>
      </c>
      <c r="O37" s="3505" t="str">
        <f>ROUND(194*(1-L57),2)&amp;"*"</f>
        <v>194*</v>
      </c>
      <c r="P37" s="3505" t="s">
        <v>17</v>
      </c>
      <c r="Q37" s="3505" t="s">
        <v>17</v>
      </c>
      <c r="R37" s="3496">
        <v>326</v>
      </c>
      <c r="S37" s="3490" t="s">
        <v>17</v>
      </c>
    </row>
    <row r="38" spans="1:19" s="401" customFormat="1" ht="114" customHeight="1" x14ac:dyDescent="0.25">
      <c r="A38" s="942" t="s">
        <v>828</v>
      </c>
      <c r="B38" s="1771"/>
      <c r="C38" s="3589"/>
      <c r="D38" s="3587"/>
      <c r="E38" s="3542"/>
      <c r="F38" s="3543"/>
      <c r="G38" s="1768" t="s">
        <v>806</v>
      </c>
      <c r="H38" s="1861">
        <f>ROUND(466*(1-J57),2)</f>
        <v>466</v>
      </c>
      <c r="I38" s="1855">
        <v>680</v>
      </c>
      <c r="J38" s="935"/>
      <c r="K38" s="3517"/>
      <c r="L38" s="3518"/>
      <c r="M38" s="3519"/>
      <c r="N38" s="3500"/>
      <c r="O38" s="3505"/>
      <c r="P38" s="3505"/>
      <c r="Q38" s="3505"/>
      <c r="R38" s="3497"/>
      <c r="S38" s="3491"/>
    </row>
    <row r="39" spans="1:19" s="401" customFormat="1" ht="88.5" customHeight="1" x14ac:dyDescent="0.25">
      <c r="A39" s="3559" t="s">
        <v>2946</v>
      </c>
      <c r="B39" s="3584"/>
      <c r="C39" s="3585">
        <v>0.246</v>
      </c>
      <c r="D39" s="3587"/>
      <c r="E39" s="3542"/>
      <c r="F39" s="3543"/>
      <c r="G39" s="1768" t="s">
        <v>825</v>
      </c>
      <c r="H39" s="1885">
        <f>ROUND(581*(1-N57),2)</f>
        <v>581</v>
      </c>
      <c r="I39" s="1842">
        <f>ROUND(H39/(C39*D35),2)</f>
        <v>787.26</v>
      </c>
      <c r="J39" s="935"/>
      <c r="K39" s="3558" t="s">
        <v>833</v>
      </c>
      <c r="L39" s="3506"/>
      <c r="M39" s="3593">
        <v>3</v>
      </c>
      <c r="N39" s="3591">
        <v>10</v>
      </c>
      <c r="O39" s="3505" t="str">
        <f>ROUND(333*(1-L57),2)&amp;"*"</f>
        <v>333*</v>
      </c>
      <c r="P39" s="3505" t="str">
        <f>ROUND(370*(1-L57),2)&amp;"**"</f>
        <v>370**</v>
      </c>
      <c r="Q39" s="3505" t="s">
        <v>17</v>
      </c>
      <c r="R39" s="3496">
        <v>530</v>
      </c>
      <c r="S39" s="3490" t="s">
        <v>17</v>
      </c>
    </row>
    <row r="40" spans="1:19" s="401" customFormat="1" ht="93.75" customHeight="1" x14ac:dyDescent="0.25">
      <c r="A40" s="3560"/>
      <c r="B40" s="3584"/>
      <c r="C40" s="3585"/>
      <c r="D40" s="3588"/>
      <c r="E40" s="3544"/>
      <c r="F40" s="3545"/>
      <c r="G40" s="1768" t="s">
        <v>806</v>
      </c>
      <c r="H40" s="1884">
        <f>ROUND(742*(1-N57),2)</f>
        <v>742</v>
      </c>
      <c r="I40" s="1842">
        <f>ROUND(H40/(C39*D35),2)</f>
        <v>1005.42</v>
      </c>
      <c r="J40" s="935"/>
      <c r="K40" s="3558"/>
      <c r="L40" s="3507"/>
      <c r="M40" s="3594"/>
      <c r="N40" s="3592"/>
      <c r="O40" s="3505"/>
      <c r="P40" s="3505"/>
      <c r="Q40" s="3505"/>
      <c r="R40" s="3497"/>
      <c r="S40" s="3491"/>
    </row>
    <row r="41" spans="1:19" s="401" customFormat="1" ht="167.25" customHeight="1" x14ac:dyDescent="0.25">
      <c r="A41" s="3577" t="s">
        <v>2602</v>
      </c>
      <c r="B41" s="3578"/>
      <c r="C41" s="3578"/>
      <c r="D41" s="3578"/>
      <c r="E41" s="3578"/>
      <c r="F41" s="3578"/>
      <c r="G41" s="3578"/>
      <c r="H41" s="3578"/>
      <c r="I41" s="3579"/>
      <c r="J41" s="935"/>
      <c r="K41" s="2018" t="s">
        <v>835</v>
      </c>
      <c r="L41" s="937"/>
      <c r="M41" s="938">
        <v>3</v>
      </c>
      <c r="N41" s="1948">
        <v>6</v>
      </c>
      <c r="O41" s="2191" t="str">
        <f>ROUND(365*(1-L57),2)&amp;"*"</f>
        <v>365*</v>
      </c>
      <c r="P41" s="2191" t="str">
        <f>ROUND(406*(1-L57),2)&amp;"**"</f>
        <v>406**</v>
      </c>
      <c r="Q41" s="2191" t="s">
        <v>17</v>
      </c>
      <c r="R41" s="2388">
        <v>682</v>
      </c>
      <c r="S41" s="2191" t="s">
        <v>17</v>
      </c>
    </row>
    <row r="42" spans="1:19" s="401" customFormat="1" ht="125.25" customHeight="1" x14ac:dyDescent="0.25">
      <c r="A42" s="945" t="s">
        <v>399</v>
      </c>
      <c r="B42" s="3577" t="s">
        <v>293</v>
      </c>
      <c r="C42" s="3578"/>
      <c r="D42" s="3578"/>
      <c r="E42" s="3578"/>
      <c r="F42" s="3578"/>
      <c r="G42" s="3579"/>
      <c r="H42" s="3580" t="s">
        <v>1700</v>
      </c>
      <c r="I42" s="3581"/>
      <c r="J42" s="935"/>
      <c r="K42" s="3492" t="s">
        <v>2603</v>
      </c>
      <c r="L42" s="3492"/>
      <c r="M42" s="3492"/>
      <c r="N42" s="3492"/>
      <c r="O42" s="3492"/>
      <c r="P42" s="3492"/>
      <c r="Q42" s="3492"/>
      <c r="R42" s="3492"/>
      <c r="S42" s="3492"/>
    </row>
    <row r="43" spans="1:19" s="401" customFormat="1" ht="150" customHeight="1" x14ac:dyDescent="0.25">
      <c r="A43" s="973" t="s">
        <v>831</v>
      </c>
      <c r="B43" s="3574" t="s">
        <v>528</v>
      </c>
      <c r="C43" s="3575"/>
      <c r="D43" s="3575"/>
      <c r="E43" s="3575"/>
      <c r="F43" s="3575"/>
      <c r="G43" s="3576"/>
      <c r="H43" s="3505">
        <v>5250</v>
      </c>
      <c r="I43" s="3505"/>
      <c r="J43" s="935"/>
      <c r="K43" s="2051" t="s">
        <v>285</v>
      </c>
      <c r="L43" s="3492" t="s">
        <v>2251</v>
      </c>
      <c r="M43" s="3492"/>
      <c r="N43" s="3492"/>
      <c r="O43" s="2051" t="s">
        <v>897</v>
      </c>
      <c r="P43" s="3492" t="s">
        <v>2252</v>
      </c>
      <c r="Q43" s="3492"/>
      <c r="R43" s="3492"/>
      <c r="S43" s="3492"/>
    </row>
    <row r="44" spans="1:19" s="401" customFormat="1" ht="168.75" customHeight="1" x14ac:dyDescent="0.25">
      <c r="A44" s="973" t="s">
        <v>524</v>
      </c>
      <c r="B44" s="3574" t="s">
        <v>834</v>
      </c>
      <c r="C44" s="3575"/>
      <c r="D44" s="3575"/>
      <c r="E44" s="3575"/>
      <c r="F44" s="3575"/>
      <c r="G44" s="3576"/>
      <c r="H44" s="3505">
        <v>2450</v>
      </c>
      <c r="I44" s="3505"/>
      <c r="J44" s="935"/>
      <c r="K44" s="3502" t="s">
        <v>2253</v>
      </c>
      <c r="L44" s="3501" t="s">
        <v>2255</v>
      </c>
      <c r="M44" s="3501"/>
      <c r="N44" s="3501"/>
      <c r="O44" s="3500" t="s">
        <v>2254</v>
      </c>
      <c r="P44" s="3493">
        <f>ROUND(351*(1-L57),2)</f>
        <v>351</v>
      </c>
      <c r="Q44" s="3493"/>
      <c r="R44" s="3493"/>
      <c r="S44" s="3493"/>
    </row>
    <row r="45" spans="1:19" s="401" customFormat="1" ht="120" customHeight="1" x14ac:dyDescent="0.25">
      <c r="A45" s="974" t="s">
        <v>584</v>
      </c>
      <c r="B45" s="3548" t="s">
        <v>586</v>
      </c>
      <c r="C45" s="3549"/>
      <c r="D45" s="3549"/>
      <c r="E45" s="3549"/>
      <c r="F45" s="3549"/>
      <c r="G45" s="3550"/>
      <c r="H45" s="3551">
        <v>590</v>
      </c>
      <c r="I45" s="3552"/>
      <c r="J45" s="935"/>
      <c r="K45" s="3502"/>
      <c r="L45" s="3501"/>
      <c r="M45" s="3501"/>
      <c r="N45" s="3501"/>
      <c r="O45" s="3500"/>
      <c r="P45" s="3493"/>
      <c r="Q45" s="3493"/>
      <c r="R45" s="3493"/>
      <c r="S45" s="3493"/>
    </row>
    <row r="46" spans="1:19" s="401" customFormat="1" ht="120" customHeight="1" x14ac:dyDescent="0.25">
      <c r="A46" s="975" t="s">
        <v>1843</v>
      </c>
      <c r="B46" s="3548" t="s">
        <v>588</v>
      </c>
      <c r="C46" s="3549"/>
      <c r="D46" s="3549"/>
      <c r="E46" s="3549"/>
      <c r="F46" s="3549"/>
      <c r="G46" s="3550"/>
      <c r="H46" s="3551" t="s">
        <v>589</v>
      </c>
      <c r="I46" s="3552"/>
      <c r="J46" s="935"/>
      <c r="K46" s="3500" t="s">
        <v>2257</v>
      </c>
      <c r="L46" s="3500"/>
      <c r="M46" s="3500"/>
      <c r="N46" s="3501" t="s">
        <v>2604</v>
      </c>
      <c r="O46" s="3501"/>
      <c r="P46" s="3493">
        <v>13</v>
      </c>
      <c r="Q46" s="3493"/>
      <c r="R46" s="3493"/>
      <c r="S46" s="3493"/>
    </row>
    <row r="47" spans="1:19" s="401" customFormat="1" ht="135" customHeight="1" x14ac:dyDescent="0.25">
      <c r="A47" s="973" t="s">
        <v>1761</v>
      </c>
      <c r="B47" s="3553" t="s">
        <v>1762</v>
      </c>
      <c r="C47" s="3554"/>
      <c r="D47" s="3554"/>
      <c r="E47" s="3554"/>
      <c r="F47" s="3554"/>
      <c r="G47" s="3555"/>
      <c r="H47" s="1883" t="s">
        <v>1763</v>
      </c>
      <c r="I47" s="976" t="s">
        <v>1764</v>
      </c>
      <c r="J47" s="935"/>
      <c r="K47" s="3590" t="s">
        <v>2896</v>
      </c>
      <c r="L47" s="3590"/>
      <c r="M47" s="3590"/>
      <c r="N47" s="3590"/>
      <c r="O47" s="3590"/>
      <c r="P47" s="3590"/>
      <c r="Q47" s="3590"/>
      <c r="R47" s="2019"/>
    </row>
    <row r="48" spans="1:19" s="401" customFormat="1" ht="90" customHeight="1" x14ac:dyDescent="0.25">
      <c r="A48" s="3562" t="s">
        <v>532</v>
      </c>
      <c r="B48" s="3564" t="s">
        <v>533</v>
      </c>
      <c r="C48" s="3565"/>
      <c r="D48" s="3565"/>
      <c r="E48" s="3565"/>
      <c r="F48" s="3565"/>
      <c r="G48" s="3566"/>
      <c r="H48" s="3570">
        <v>891</v>
      </c>
      <c r="I48" s="3571"/>
      <c r="J48" s="935"/>
      <c r="K48" s="1529" t="s">
        <v>3218</v>
      </c>
      <c r="L48" s="1524"/>
      <c r="M48" s="1524"/>
      <c r="N48" s="1524"/>
      <c r="O48" s="1524"/>
      <c r="P48" s="1524"/>
      <c r="Q48" s="1524"/>
      <c r="R48" s="1524"/>
    </row>
    <row r="49" spans="1:20" s="401" customFormat="1" ht="56.25" customHeight="1" x14ac:dyDescent="0.25">
      <c r="A49" s="3563"/>
      <c r="B49" s="3567"/>
      <c r="C49" s="3568"/>
      <c r="D49" s="3568"/>
      <c r="E49" s="3568"/>
      <c r="F49" s="3568"/>
      <c r="G49" s="3569"/>
      <c r="H49" s="3572"/>
      <c r="I49" s="3573"/>
      <c r="J49" s="935"/>
      <c r="K49" s="948" t="s">
        <v>3219</v>
      </c>
      <c r="L49" s="950"/>
      <c r="S49" s="1455"/>
    </row>
    <row r="50" spans="1:20" s="401" customFormat="1" ht="56.25" customHeight="1" x14ac:dyDescent="0.25">
      <c r="A50" s="3561" t="s">
        <v>2192</v>
      </c>
      <c r="B50" s="3561"/>
      <c r="C50" s="3561"/>
      <c r="D50" s="3561"/>
      <c r="E50" s="3561"/>
      <c r="F50" s="3561"/>
      <c r="G50" s="3561"/>
      <c r="H50" s="3561"/>
      <c r="I50" s="3561"/>
      <c r="J50" s="935"/>
      <c r="K50" s="946" t="s">
        <v>2259</v>
      </c>
      <c r="L50" s="948"/>
      <c r="M50" s="948"/>
      <c r="N50" s="949"/>
      <c r="O50" s="409"/>
      <c r="P50" s="409"/>
      <c r="Q50" s="409"/>
      <c r="R50" s="409"/>
      <c r="S50" s="1455"/>
    </row>
    <row r="51" spans="1:20" s="401" customFormat="1" ht="49.5" customHeight="1" x14ac:dyDescent="0.25">
      <c r="A51" s="3546" t="s">
        <v>2869</v>
      </c>
      <c r="B51" s="3546"/>
      <c r="C51" s="3546"/>
      <c r="D51" s="3546"/>
      <c r="E51" s="3546"/>
      <c r="F51" s="3546"/>
      <c r="G51" s="3546"/>
      <c r="H51" s="3546"/>
      <c r="I51" s="3546"/>
      <c r="J51" s="947"/>
      <c r="S51" s="1455"/>
    </row>
    <row r="52" spans="1:20" s="401" customFormat="1" ht="52.5" customHeight="1" x14ac:dyDescent="0.25">
      <c r="A52" s="3547" t="s">
        <v>2870</v>
      </c>
      <c r="B52" s="3547"/>
      <c r="C52" s="3547"/>
      <c r="D52" s="3547"/>
      <c r="E52" s="3547"/>
      <c r="F52" s="3547"/>
      <c r="G52" s="3547"/>
      <c r="H52" s="3547"/>
      <c r="I52" s="3547"/>
      <c r="J52" s="947"/>
    </row>
    <row r="53" spans="1:20" s="401" customFormat="1" ht="55.5" customHeight="1" x14ac:dyDescent="0.25">
      <c r="A53" s="3547"/>
      <c r="B53" s="3547"/>
      <c r="C53" s="3547"/>
      <c r="D53" s="3547"/>
      <c r="E53" s="3547"/>
      <c r="F53" s="3547"/>
      <c r="G53" s="3547"/>
      <c r="H53" s="3547"/>
      <c r="I53" s="3547"/>
      <c r="J53" s="947"/>
      <c r="N53" s="951"/>
      <c r="O53" s="408"/>
      <c r="P53" s="408"/>
      <c r="Q53" s="408"/>
      <c r="R53" s="408"/>
    </row>
    <row r="54" spans="1:20" s="401" customFormat="1" ht="44.25" x14ac:dyDescent="0.25">
      <c r="A54" s="3547"/>
      <c r="B54" s="3547"/>
      <c r="C54" s="3547"/>
      <c r="D54" s="3547"/>
      <c r="E54" s="3547"/>
      <c r="F54" s="3547"/>
      <c r="G54" s="3547"/>
      <c r="H54" s="3547"/>
      <c r="I54" s="3547"/>
      <c r="J54" s="410"/>
      <c r="K54" s="408"/>
      <c r="L54" s="408"/>
      <c r="M54" s="408"/>
      <c r="N54" s="408"/>
      <c r="O54" s="408"/>
      <c r="P54" s="408"/>
      <c r="Q54" s="408"/>
      <c r="R54" s="408"/>
      <c r="S54" s="411"/>
      <c r="T54" s="411"/>
    </row>
    <row r="55" spans="1:20" s="401" customFormat="1" ht="50.25" x14ac:dyDescent="0.25">
      <c r="A55" s="3614" t="s">
        <v>2871</v>
      </c>
      <c r="B55" s="3614"/>
      <c r="C55" s="3614"/>
      <c r="D55" s="3614"/>
      <c r="E55" s="3614"/>
      <c r="F55" s="3614"/>
      <c r="G55" s="3614"/>
      <c r="H55" s="3614"/>
      <c r="I55" s="3614"/>
      <c r="J55" s="410"/>
      <c r="K55" s="408"/>
      <c r="L55" s="408"/>
      <c r="M55" s="408"/>
      <c r="N55" s="408"/>
      <c r="O55" s="408"/>
      <c r="P55" s="408"/>
      <c r="Q55" s="408"/>
      <c r="R55" s="408"/>
      <c r="S55" s="411"/>
      <c r="T55" s="411"/>
    </row>
    <row r="56" spans="1:20" s="401" customFormat="1" ht="195.75" customHeight="1" x14ac:dyDescent="0.25">
      <c r="A56" s="3556" t="s">
        <v>66</v>
      </c>
      <c r="B56" s="3556"/>
      <c r="C56" s="1767" t="s">
        <v>836</v>
      </c>
      <c r="D56" s="1767" t="s">
        <v>837</v>
      </c>
      <c r="E56" s="3557" t="s">
        <v>815</v>
      </c>
      <c r="F56" s="3557"/>
      <c r="G56" s="1767" t="s">
        <v>838</v>
      </c>
      <c r="H56" s="3557" t="s">
        <v>839</v>
      </c>
      <c r="I56" s="3557"/>
      <c r="J56" s="3525" t="s">
        <v>840</v>
      </c>
      <c r="K56" s="3526"/>
      <c r="L56" s="3527" t="s">
        <v>841</v>
      </c>
      <c r="M56" s="3528"/>
      <c r="N56" s="1766" t="s">
        <v>842</v>
      </c>
      <c r="O56" s="1788" t="s">
        <v>2256</v>
      </c>
      <c r="P56" s="408"/>
      <c r="Q56" s="408"/>
      <c r="R56" s="408"/>
      <c r="S56" s="411"/>
      <c r="T56" s="411"/>
    </row>
    <row r="57" spans="1:20" s="401" customFormat="1" ht="66.75" customHeight="1" x14ac:dyDescent="0.25">
      <c r="A57" s="3556"/>
      <c r="B57" s="3556"/>
      <c r="C57" s="1765">
        <v>0</v>
      </c>
      <c r="D57" s="1764">
        <v>0</v>
      </c>
      <c r="E57" s="3529">
        <v>0</v>
      </c>
      <c r="F57" s="3530"/>
      <c r="G57" s="413">
        <v>0</v>
      </c>
      <c r="H57" s="3531">
        <v>0</v>
      </c>
      <c r="I57" s="3531"/>
      <c r="J57" s="3532">
        <v>0</v>
      </c>
      <c r="K57" s="3533"/>
      <c r="L57" s="3532">
        <v>0</v>
      </c>
      <c r="M57" s="3533"/>
      <c r="N57" s="2138">
        <v>0</v>
      </c>
      <c r="O57" s="2138">
        <v>0</v>
      </c>
      <c r="P57" s="408"/>
      <c r="Q57" s="408"/>
      <c r="R57" s="408"/>
      <c r="S57" s="411"/>
      <c r="T57" s="411"/>
    </row>
    <row r="58" spans="1:20" s="401" customFormat="1" ht="192" customHeight="1" x14ac:dyDescent="0.25">
      <c r="O58" s="408"/>
      <c r="P58" s="408"/>
      <c r="Q58" s="408"/>
      <c r="R58" s="408"/>
      <c r="S58" s="411"/>
      <c r="T58" s="411"/>
    </row>
    <row r="59" spans="1:20" s="401" customFormat="1" ht="111.75" customHeight="1" x14ac:dyDescent="0.25">
      <c r="O59" s="408"/>
      <c r="P59" s="408"/>
      <c r="Q59" s="408"/>
      <c r="R59" s="408"/>
      <c r="S59" s="411"/>
      <c r="T59" s="411"/>
    </row>
    <row r="60" spans="1:20" s="401" customFormat="1" ht="45" x14ac:dyDescent="0.25">
      <c r="B60" s="412"/>
      <c r="C60" s="412"/>
      <c r="D60" s="412"/>
      <c r="E60" s="412"/>
      <c r="F60" s="412"/>
      <c r="G60" s="412"/>
      <c r="H60" s="412"/>
      <c r="I60" s="412"/>
      <c r="J60" s="412"/>
      <c r="L60" s="411"/>
      <c r="M60" s="411"/>
      <c r="N60" s="411"/>
      <c r="O60" s="411"/>
      <c r="P60" s="411"/>
      <c r="Q60" s="411"/>
      <c r="R60" s="411"/>
      <c r="S60" s="411"/>
      <c r="T60" s="411"/>
    </row>
    <row r="61" spans="1:20" s="401" customFormat="1" ht="260.25" customHeight="1" x14ac:dyDescent="0.25">
      <c r="O61" s="411"/>
      <c r="P61" s="411"/>
      <c r="Q61" s="411"/>
      <c r="R61" s="411"/>
      <c r="S61" s="411"/>
      <c r="T61" s="411"/>
    </row>
    <row r="62" spans="1:20" s="401" customFormat="1" ht="69" customHeight="1" x14ac:dyDescent="0.25">
      <c r="O62" s="368"/>
      <c r="P62" s="368"/>
      <c r="Q62" s="368"/>
      <c r="R62" s="368"/>
      <c r="S62" s="411"/>
      <c r="T62" s="411"/>
    </row>
    <row r="63" spans="1:20" s="384" customFormat="1" ht="12.75" hidden="1" customHeight="1" x14ac:dyDescent="0.2">
      <c r="B63" s="398"/>
      <c r="C63" s="399"/>
      <c r="D63" s="398"/>
      <c r="E63" s="398"/>
      <c r="F63" s="398"/>
      <c r="G63" s="398"/>
      <c r="H63" s="398"/>
      <c r="I63" s="398"/>
      <c r="J63" s="400"/>
    </row>
    <row r="64" spans="1:20" s="384" customFormat="1" x14ac:dyDescent="0.2">
      <c r="B64" s="398"/>
      <c r="C64" s="399"/>
      <c r="D64" s="398"/>
      <c r="E64" s="398"/>
      <c r="F64" s="398"/>
      <c r="G64" s="398"/>
      <c r="H64" s="398"/>
      <c r="I64" s="398"/>
      <c r="J64" s="400"/>
    </row>
    <row r="65" spans="2:10" s="384" customFormat="1" x14ac:dyDescent="0.2">
      <c r="B65" s="398"/>
      <c r="C65" s="399"/>
      <c r="D65" s="398"/>
      <c r="E65" s="398"/>
      <c r="F65" s="398"/>
      <c r="G65" s="398"/>
      <c r="H65" s="398"/>
      <c r="I65" s="398"/>
      <c r="J65" s="400"/>
    </row>
    <row r="66" spans="2:10" s="384" customFormat="1" x14ac:dyDescent="0.2">
      <c r="B66" s="398"/>
      <c r="C66" s="399"/>
      <c r="D66" s="398"/>
      <c r="E66" s="398"/>
      <c r="F66" s="398"/>
      <c r="G66" s="398"/>
      <c r="H66" s="398"/>
      <c r="I66" s="398"/>
      <c r="J66" s="400"/>
    </row>
    <row r="67" spans="2:10" s="384" customFormat="1" x14ac:dyDescent="0.2">
      <c r="B67" s="398"/>
      <c r="C67" s="399"/>
      <c r="D67" s="398"/>
      <c r="E67" s="398"/>
      <c r="F67" s="398"/>
      <c r="G67" s="398"/>
      <c r="H67" s="398"/>
      <c r="I67" s="398"/>
      <c r="J67" s="400"/>
    </row>
    <row r="68" spans="2:10" s="384" customFormat="1" x14ac:dyDescent="0.2">
      <c r="B68" s="398"/>
      <c r="C68" s="399"/>
      <c r="D68" s="398"/>
      <c r="E68" s="398"/>
      <c r="F68" s="398"/>
      <c r="G68" s="398"/>
      <c r="H68" s="398"/>
      <c r="I68" s="398"/>
      <c r="J68" s="400"/>
    </row>
    <row r="69" spans="2:10" s="384" customFormat="1" x14ac:dyDescent="0.2">
      <c r="B69" s="398"/>
      <c r="C69" s="399"/>
      <c r="D69" s="398"/>
      <c r="E69" s="398"/>
      <c r="F69" s="398"/>
      <c r="G69" s="398"/>
      <c r="H69" s="398"/>
      <c r="I69" s="398"/>
      <c r="J69" s="400"/>
    </row>
    <row r="70" spans="2:10" s="384" customFormat="1" x14ac:dyDescent="0.2">
      <c r="B70" s="398"/>
      <c r="C70" s="399"/>
      <c r="D70" s="398"/>
      <c r="E70" s="398"/>
      <c r="F70" s="398"/>
      <c r="G70" s="398"/>
      <c r="H70" s="398"/>
      <c r="I70" s="398"/>
      <c r="J70" s="400"/>
    </row>
    <row r="71" spans="2:10" s="384" customFormat="1" x14ac:dyDescent="0.2">
      <c r="B71" s="398"/>
      <c r="C71" s="399"/>
      <c r="D71" s="398"/>
      <c r="E71" s="398"/>
      <c r="F71" s="398"/>
      <c r="G71" s="398"/>
      <c r="H71" s="398"/>
      <c r="I71" s="398"/>
      <c r="J71" s="400"/>
    </row>
    <row r="72" spans="2:10" s="384" customFormat="1" x14ac:dyDescent="0.2">
      <c r="B72" s="398"/>
      <c r="C72" s="399"/>
      <c r="D72" s="398"/>
      <c r="E72" s="398"/>
      <c r="F72" s="398"/>
      <c r="G72" s="398"/>
      <c r="H72" s="398"/>
      <c r="I72" s="398"/>
      <c r="J72" s="400"/>
    </row>
    <row r="73" spans="2:10" s="384" customFormat="1" x14ac:dyDescent="0.2">
      <c r="B73" s="398"/>
      <c r="C73" s="399"/>
      <c r="D73" s="398"/>
      <c r="E73" s="398"/>
      <c r="F73" s="398"/>
      <c r="G73" s="398"/>
      <c r="H73" s="398"/>
      <c r="I73" s="398"/>
      <c r="J73" s="400"/>
    </row>
    <row r="74" spans="2:10" s="384" customFormat="1" x14ac:dyDescent="0.2">
      <c r="B74" s="398"/>
      <c r="C74" s="399"/>
      <c r="D74" s="398"/>
      <c r="E74" s="398"/>
      <c r="F74" s="398"/>
      <c r="G74" s="398"/>
      <c r="H74" s="398"/>
      <c r="I74" s="398"/>
      <c r="J74" s="400"/>
    </row>
    <row r="75" spans="2:10" s="384" customFormat="1" x14ac:dyDescent="0.2">
      <c r="B75" s="398"/>
      <c r="C75" s="399"/>
      <c r="D75" s="398"/>
      <c r="E75" s="398"/>
      <c r="F75" s="398"/>
      <c r="G75" s="398"/>
      <c r="H75" s="398"/>
      <c r="I75" s="398"/>
      <c r="J75" s="400"/>
    </row>
    <row r="76" spans="2:10" s="384" customFormat="1" x14ac:dyDescent="0.2">
      <c r="B76" s="398"/>
      <c r="C76" s="399"/>
      <c r="D76" s="398"/>
      <c r="E76" s="398"/>
      <c r="F76" s="398"/>
      <c r="G76" s="398"/>
      <c r="H76" s="398"/>
      <c r="I76" s="398"/>
      <c r="J76" s="400"/>
    </row>
    <row r="77" spans="2:10" s="384" customFormat="1" x14ac:dyDescent="0.2">
      <c r="B77" s="398"/>
      <c r="C77" s="399"/>
      <c r="D77" s="398"/>
      <c r="E77" s="398"/>
      <c r="F77" s="398"/>
      <c r="G77" s="398"/>
      <c r="H77" s="398"/>
      <c r="I77" s="398"/>
      <c r="J77" s="400"/>
    </row>
    <row r="78" spans="2:10" s="384" customFormat="1" x14ac:dyDescent="0.2">
      <c r="B78" s="398"/>
      <c r="C78" s="399"/>
      <c r="D78" s="398"/>
      <c r="E78" s="398"/>
      <c r="F78" s="398"/>
      <c r="G78" s="398"/>
      <c r="H78" s="398"/>
      <c r="I78" s="398"/>
      <c r="J78" s="400"/>
    </row>
    <row r="79" spans="2:10" s="384" customFormat="1" x14ac:dyDescent="0.2">
      <c r="B79" s="398"/>
      <c r="C79" s="399"/>
      <c r="D79" s="398"/>
      <c r="E79" s="398"/>
      <c r="F79" s="398"/>
      <c r="G79" s="398"/>
      <c r="H79" s="398"/>
      <c r="I79" s="398"/>
      <c r="J79" s="400"/>
    </row>
    <row r="80" spans="2:10" s="384" customFormat="1" x14ac:dyDescent="0.2">
      <c r="B80" s="398"/>
      <c r="C80" s="399"/>
      <c r="D80" s="398"/>
      <c r="E80" s="398"/>
      <c r="F80" s="398"/>
      <c r="G80" s="398"/>
      <c r="H80" s="398"/>
      <c r="I80" s="398"/>
      <c r="J80" s="400"/>
    </row>
    <row r="81" spans="2:10" s="384" customFormat="1" x14ac:dyDescent="0.2">
      <c r="B81" s="398"/>
      <c r="C81" s="399"/>
      <c r="D81" s="398"/>
      <c r="E81" s="398"/>
      <c r="F81" s="398"/>
      <c r="G81" s="398"/>
      <c r="H81" s="398"/>
      <c r="I81" s="398"/>
      <c r="J81" s="400"/>
    </row>
    <row r="82" spans="2:10" s="384" customFormat="1" x14ac:dyDescent="0.2">
      <c r="B82" s="398"/>
      <c r="C82" s="399"/>
      <c r="D82" s="398"/>
      <c r="E82" s="398"/>
      <c r="F82" s="398"/>
      <c r="G82" s="398"/>
      <c r="H82" s="398"/>
      <c r="I82" s="398"/>
      <c r="J82" s="400"/>
    </row>
    <row r="83" spans="2:10" s="384" customFormat="1" x14ac:dyDescent="0.2">
      <c r="B83" s="398"/>
      <c r="C83" s="399"/>
      <c r="D83" s="398"/>
      <c r="E83" s="398"/>
      <c r="F83" s="398"/>
      <c r="G83" s="398"/>
      <c r="H83" s="398"/>
      <c r="I83" s="398"/>
      <c r="J83" s="400"/>
    </row>
    <row r="84" spans="2:10" s="384" customFormat="1" x14ac:dyDescent="0.2">
      <c r="B84" s="398"/>
      <c r="C84" s="399"/>
      <c r="D84" s="398"/>
      <c r="E84" s="398"/>
      <c r="F84" s="398"/>
      <c r="G84" s="398"/>
      <c r="H84" s="398"/>
      <c r="I84" s="398"/>
      <c r="J84" s="400"/>
    </row>
    <row r="85" spans="2:10" s="384" customFormat="1" x14ac:dyDescent="0.2">
      <c r="B85" s="398"/>
      <c r="C85" s="399"/>
      <c r="D85" s="398"/>
      <c r="E85" s="398"/>
      <c r="F85" s="398"/>
      <c r="G85" s="398"/>
      <c r="H85" s="398"/>
      <c r="I85" s="398"/>
      <c r="J85" s="400"/>
    </row>
    <row r="86" spans="2:10" s="384" customFormat="1" x14ac:dyDescent="0.2">
      <c r="B86" s="398"/>
      <c r="C86" s="399"/>
      <c r="D86" s="398"/>
      <c r="E86" s="398"/>
      <c r="F86" s="398"/>
      <c r="G86" s="398"/>
      <c r="H86" s="398"/>
      <c r="I86" s="398"/>
      <c r="J86" s="400"/>
    </row>
    <row r="87" spans="2:10" s="384" customFormat="1" x14ac:dyDescent="0.2">
      <c r="B87" s="398"/>
      <c r="C87" s="399"/>
      <c r="D87" s="398"/>
      <c r="E87" s="398"/>
      <c r="F87" s="398"/>
      <c r="G87" s="398"/>
      <c r="H87" s="398"/>
      <c r="I87" s="398"/>
      <c r="J87" s="400"/>
    </row>
    <row r="88" spans="2:10" s="384" customFormat="1" x14ac:dyDescent="0.2">
      <c r="B88" s="398"/>
      <c r="C88" s="399"/>
      <c r="D88" s="398"/>
      <c r="E88" s="398"/>
      <c r="F88" s="398"/>
      <c r="G88" s="398"/>
      <c r="H88" s="398"/>
      <c r="I88" s="398"/>
      <c r="J88" s="400"/>
    </row>
    <row r="89" spans="2:10" s="384" customFormat="1" x14ac:dyDescent="0.2">
      <c r="B89" s="398"/>
      <c r="C89" s="399"/>
      <c r="D89" s="398"/>
      <c r="E89" s="398"/>
      <c r="F89" s="398"/>
      <c r="G89" s="398"/>
      <c r="H89" s="398"/>
      <c r="I89" s="398"/>
      <c r="J89" s="400"/>
    </row>
    <row r="90" spans="2:10" s="384" customFormat="1" x14ac:dyDescent="0.2">
      <c r="B90" s="398"/>
      <c r="C90" s="399"/>
      <c r="D90" s="398"/>
      <c r="E90" s="398"/>
      <c r="F90" s="398"/>
      <c r="G90" s="398"/>
      <c r="H90" s="398"/>
      <c r="I90" s="398"/>
      <c r="J90" s="400"/>
    </row>
    <row r="91" spans="2:10" s="384" customFormat="1" x14ac:dyDescent="0.2">
      <c r="B91" s="398"/>
      <c r="C91" s="399"/>
      <c r="D91" s="398"/>
      <c r="E91" s="398"/>
      <c r="F91" s="398"/>
      <c r="G91" s="398"/>
      <c r="H91" s="398"/>
      <c r="I91" s="398"/>
      <c r="J91" s="400"/>
    </row>
    <row r="92" spans="2:10" s="384" customFormat="1" x14ac:dyDescent="0.2">
      <c r="B92" s="398"/>
      <c r="C92" s="399"/>
      <c r="D92" s="398"/>
      <c r="E92" s="398"/>
      <c r="F92" s="398"/>
      <c r="G92" s="398"/>
      <c r="H92" s="398"/>
      <c r="I92" s="398"/>
      <c r="J92" s="400"/>
    </row>
    <row r="93" spans="2:10" s="384" customFormat="1" x14ac:dyDescent="0.2">
      <c r="B93" s="398"/>
      <c r="C93" s="399"/>
      <c r="D93" s="398"/>
      <c r="E93" s="398"/>
      <c r="F93" s="398"/>
      <c r="G93" s="398"/>
      <c r="H93" s="398"/>
      <c r="I93" s="398"/>
      <c r="J93" s="400"/>
    </row>
    <row r="94" spans="2:10" s="384" customFormat="1" x14ac:dyDescent="0.2">
      <c r="B94" s="398"/>
      <c r="C94" s="399"/>
      <c r="D94" s="398"/>
      <c r="E94" s="398"/>
      <c r="F94" s="398"/>
      <c r="G94" s="398"/>
      <c r="H94" s="398"/>
      <c r="I94" s="398"/>
      <c r="J94" s="400"/>
    </row>
    <row r="95" spans="2:10" s="384" customFormat="1" x14ac:dyDescent="0.2">
      <c r="B95" s="398"/>
      <c r="C95" s="399"/>
      <c r="D95" s="398"/>
      <c r="E95" s="398"/>
      <c r="F95" s="398"/>
      <c r="G95" s="398"/>
      <c r="H95" s="398"/>
      <c r="I95" s="398"/>
      <c r="J95" s="400"/>
    </row>
    <row r="96" spans="2:10" s="384" customFormat="1" x14ac:dyDescent="0.2">
      <c r="B96" s="398"/>
      <c r="C96" s="399"/>
      <c r="D96" s="398"/>
      <c r="E96" s="398"/>
      <c r="F96" s="398"/>
      <c r="G96" s="398"/>
      <c r="H96" s="398"/>
      <c r="I96" s="398"/>
      <c r="J96" s="400"/>
    </row>
    <row r="97" spans="2:10" s="384" customFormat="1" x14ac:dyDescent="0.2">
      <c r="B97" s="398"/>
      <c r="C97" s="399"/>
      <c r="D97" s="398"/>
      <c r="E97" s="398"/>
      <c r="F97" s="398"/>
      <c r="G97" s="398"/>
      <c r="H97" s="398"/>
      <c r="I97" s="398"/>
      <c r="J97" s="400"/>
    </row>
    <row r="98" spans="2:10" s="384" customFormat="1" x14ac:dyDescent="0.2">
      <c r="B98" s="398"/>
      <c r="C98" s="399"/>
      <c r="D98" s="398"/>
      <c r="E98" s="398"/>
      <c r="F98" s="398"/>
      <c r="G98" s="398"/>
      <c r="H98" s="398"/>
      <c r="I98" s="398"/>
      <c r="J98" s="400"/>
    </row>
    <row r="99" spans="2:10" s="384" customFormat="1" x14ac:dyDescent="0.2">
      <c r="B99" s="398"/>
      <c r="C99" s="399"/>
      <c r="D99" s="398"/>
      <c r="E99" s="398"/>
      <c r="F99" s="398"/>
      <c r="G99" s="398"/>
      <c r="H99" s="398"/>
      <c r="I99" s="398"/>
      <c r="J99" s="400"/>
    </row>
    <row r="100" spans="2:10" s="384" customFormat="1" x14ac:dyDescent="0.2">
      <c r="B100" s="398"/>
      <c r="C100" s="399"/>
      <c r="D100" s="398"/>
      <c r="E100" s="398"/>
      <c r="F100" s="398"/>
      <c r="G100" s="398"/>
      <c r="H100" s="398"/>
      <c r="I100" s="398"/>
      <c r="J100" s="400"/>
    </row>
    <row r="101" spans="2:10" s="384" customFormat="1" x14ac:dyDescent="0.2">
      <c r="B101" s="398"/>
      <c r="C101" s="399"/>
      <c r="D101" s="398"/>
      <c r="E101" s="398"/>
      <c r="F101" s="398"/>
      <c r="G101" s="398"/>
      <c r="H101" s="398"/>
      <c r="I101" s="398"/>
      <c r="J101" s="400"/>
    </row>
    <row r="102" spans="2:10" s="384" customFormat="1" x14ac:dyDescent="0.2">
      <c r="B102" s="398"/>
      <c r="C102" s="399"/>
      <c r="D102" s="398"/>
      <c r="E102" s="398"/>
      <c r="F102" s="398"/>
      <c r="G102" s="398"/>
      <c r="H102" s="398"/>
      <c r="I102" s="398"/>
      <c r="J102" s="400"/>
    </row>
    <row r="103" spans="2:10" s="384" customFormat="1" x14ac:dyDescent="0.2">
      <c r="B103" s="398"/>
      <c r="C103" s="399"/>
      <c r="D103" s="398"/>
      <c r="E103" s="398"/>
      <c r="F103" s="398"/>
      <c r="G103" s="398"/>
      <c r="H103" s="398"/>
      <c r="I103" s="398"/>
      <c r="J103" s="400"/>
    </row>
    <row r="104" spans="2:10" s="384" customFormat="1" x14ac:dyDescent="0.2">
      <c r="B104" s="398"/>
      <c r="C104" s="399"/>
      <c r="D104" s="398"/>
      <c r="E104" s="398"/>
      <c r="F104" s="398"/>
      <c r="G104" s="398"/>
      <c r="H104" s="398"/>
      <c r="I104" s="398"/>
      <c r="J104" s="400"/>
    </row>
    <row r="105" spans="2:10" s="384" customFormat="1" x14ac:dyDescent="0.2">
      <c r="B105" s="398"/>
      <c r="C105" s="399"/>
      <c r="D105" s="398"/>
      <c r="E105" s="398"/>
      <c r="F105" s="398"/>
      <c r="G105" s="398"/>
      <c r="H105" s="398"/>
      <c r="I105" s="398"/>
      <c r="J105" s="400"/>
    </row>
    <row r="106" spans="2:10" s="384" customFormat="1" x14ac:dyDescent="0.2">
      <c r="B106" s="398"/>
      <c r="C106" s="399"/>
      <c r="D106" s="398"/>
      <c r="E106" s="398"/>
      <c r="F106" s="398"/>
      <c r="G106" s="398"/>
      <c r="H106" s="398"/>
      <c r="I106" s="398"/>
      <c r="J106" s="400"/>
    </row>
    <row r="107" spans="2:10" s="384" customFormat="1" x14ac:dyDescent="0.2">
      <c r="B107" s="398"/>
      <c r="C107" s="399"/>
      <c r="D107" s="398"/>
      <c r="E107" s="398"/>
      <c r="F107" s="398"/>
      <c r="G107" s="398"/>
      <c r="H107" s="398"/>
      <c r="I107" s="398"/>
      <c r="J107" s="400"/>
    </row>
    <row r="108" spans="2:10" s="384" customFormat="1" x14ac:dyDescent="0.2">
      <c r="B108" s="398"/>
      <c r="C108" s="399"/>
      <c r="D108" s="398"/>
      <c r="E108" s="398"/>
      <c r="F108" s="398"/>
      <c r="G108" s="398"/>
      <c r="H108" s="398"/>
      <c r="I108" s="398"/>
      <c r="J108" s="400"/>
    </row>
    <row r="109" spans="2:10" s="384" customFormat="1" x14ac:dyDescent="0.2">
      <c r="B109" s="398"/>
      <c r="C109" s="399"/>
      <c r="D109" s="398"/>
      <c r="E109" s="398"/>
      <c r="F109" s="398"/>
      <c r="G109" s="398"/>
      <c r="H109" s="398"/>
      <c r="I109" s="398"/>
      <c r="J109" s="400"/>
    </row>
    <row r="110" spans="2:10" s="384" customFormat="1" x14ac:dyDescent="0.2">
      <c r="B110" s="398"/>
      <c r="C110" s="399"/>
      <c r="D110" s="398"/>
      <c r="E110" s="398"/>
      <c r="F110" s="398"/>
      <c r="G110" s="398"/>
      <c r="H110" s="398"/>
      <c r="I110" s="398"/>
      <c r="J110" s="400"/>
    </row>
    <row r="111" spans="2:10" s="384" customFormat="1" x14ac:dyDescent="0.2">
      <c r="B111" s="398"/>
      <c r="C111" s="399"/>
      <c r="D111" s="398"/>
      <c r="E111" s="398"/>
      <c r="F111" s="398"/>
      <c r="G111" s="398"/>
      <c r="H111" s="398"/>
      <c r="I111" s="398"/>
      <c r="J111" s="400"/>
    </row>
    <row r="112" spans="2:10" s="384" customFormat="1" x14ac:dyDescent="0.2">
      <c r="B112" s="398"/>
      <c r="C112" s="399"/>
      <c r="D112" s="398"/>
      <c r="E112" s="398"/>
      <c r="F112" s="398"/>
      <c r="G112" s="398"/>
      <c r="H112" s="398"/>
      <c r="I112" s="398"/>
      <c r="J112" s="400"/>
    </row>
    <row r="113" spans="2:10" s="384" customFormat="1" x14ac:dyDescent="0.2">
      <c r="B113" s="398"/>
      <c r="C113" s="399"/>
      <c r="D113" s="398"/>
      <c r="E113" s="398"/>
      <c r="F113" s="398"/>
      <c r="G113" s="398"/>
      <c r="H113" s="398"/>
      <c r="I113" s="398"/>
      <c r="J113" s="400"/>
    </row>
    <row r="114" spans="2:10" s="384" customFormat="1" x14ac:dyDescent="0.2">
      <c r="B114" s="398"/>
      <c r="C114" s="399"/>
      <c r="D114" s="398"/>
      <c r="E114" s="398"/>
      <c r="F114" s="398"/>
      <c r="G114" s="398"/>
      <c r="H114" s="398"/>
      <c r="I114" s="398"/>
      <c r="J114" s="400"/>
    </row>
    <row r="115" spans="2:10" s="384" customFormat="1" x14ac:dyDescent="0.2">
      <c r="B115" s="398"/>
      <c r="C115" s="399"/>
      <c r="D115" s="398"/>
      <c r="E115" s="398"/>
      <c r="F115" s="398"/>
      <c r="G115" s="398"/>
      <c r="H115" s="398"/>
      <c r="I115" s="398"/>
      <c r="J115" s="400"/>
    </row>
    <row r="116" spans="2:10" s="384" customFormat="1" x14ac:dyDescent="0.2">
      <c r="B116" s="398"/>
      <c r="C116" s="399"/>
      <c r="D116" s="398"/>
      <c r="E116" s="398"/>
      <c r="F116" s="398"/>
      <c r="G116" s="398"/>
      <c r="H116" s="398"/>
      <c r="I116" s="398"/>
      <c r="J116" s="400"/>
    </row>
    <row r="117" spans="2:10" s="384" customFormat="1" x14ac:dyDescent="0.2">
      <c r="B117" s="398"/>
      <c r="C117" s="399"/>
      <c r="D117" s="398"/>
      <c r="E117" s="398"/>
      <c r="F117" s="398"/>
      <c r="G117" s="398"/>
      <c r="H117" s="398"/>
      <c r="I117" s="398"/>
      <c r="J117" s="400"/>
    </row>
    <row r="118" spans="2:10" s="384" customFormat="1" x14ac:dyDescent="0.2">
      <c r="B118" s="398"/>
      <c r="C118" s="399"/>
      <c r="D118" s="398"/>
      <c r="E118" s="398"/>
      <c r="F118" s="398"/>
      <c r="G118" s="398"/>
      <c r="H118" s="398"/>
      <c r="I118" s="398"/>
      <c r="J118" s="400"/>
    </row>
    <row r="119" spans="2:10" s="384" customFormat="1" x14ac:dyDescent="0.2">
      <c r="B119" s="398"/>
      <c r="C119" s="399"/>
      <c r="D119" s="398"/>
      <c r="E119" s="398"/>
      <c r="F119" s="398"/>
      <c r="G119" s="398"/>
      <c r="H119" s="398"/>
      <c r="I119" s="398"/>
      <c r="J119" s="400"/>
    </row>
    <row r="120" spans="2:10" s="384" customFormat="1" x14ac:dyDescent="0.2">
      <c r="B120" s="398"/>
      <c r="C120" s="399"/>
      <c r="D120" s="398"/>
      <c r="E120" s="398"/>
      <c r="F120" s="398"/>
      <c r="G120" s="398"/>
      <c r="H120" s="398"/>
      <c r="I120" s="398"/>
      <c r="J120" s="400"/>
    </row>
    <row r="121" spans="2:10" s="384" customFormat="1" x14ac:dyDescent="0.2">
      <c r="B121" s="398"/>
      <c r="C121" s="399"/>
      <c r="D121" s="398"/>
      <c r="E121" s="398"/>
      <c r="F121" s="398"/>
      <c r="G121" s="398"/>
      <c r="H121" s="398"/>
      <c r="I121" s="398"/>
      <c r="J121" s="400"/>
    </row>
    <row r="122" spans="2:10" s="384" customFormat="1" x14ac:dyDescent="0.2">
      <c r="B122" s="398"/>
      <c r="C122" s="399"/>
      <c r="D122" s="398"/>
      <c r="E122" s="398"/>
      <c r="F122" s="398"/>
      <c r="G122" s="398"/>
      <c r="H122" s="398"/>
      <c r="I122" s="398"/>
      <c r="J122" s="400"/>
    </row>
    <row r="123" spans="2:10" s="384" customFormat="1" x14ac:dyDescent="0.2">
      <c r="B123" s="398"/>
      <c r="C123" s="399"/>
      <c r="D123" s="398"/>
      <c r="E123" s="398"/>
      <c r="F123" s="398"/>
      <c r="G123" s="398"/>
      <c r="H123" s="398"/>
      <c r="I123" s="398"/>
      <c r="J123" s="400"/>
    </row>
    <row r="124" spans="2:10" s="384" customFormat="1" x14ac:dyDescent="0.2">
      <c r="B124" s="398"/>
      <c r="C124" s="399"/>
      <c r="D124" s="398"/>
      <c r="E124" s="398"/>
      <c r="F124" s="398"/>
      <c r="G124" s="398"/>
      <c r="H124" s="398"/>
      <c r="I124" s="398"/>
      <c r="J124" s="400"/>
    </row>
    <row r="125" spans="2:10" s="384" customFormat="1" x14ac:dyDescent="0.2">
      <c r="B125" s="398"/>
      <c r="C125" s="399"/>
      <c r="D125" s="398"/>
      <c r="E125" s="398"/>
      <c r="F125" s="398"/>
      <c r="G125" s="398"/>
      <c r="H125" s="398"/>
      <c r="I125" s="398"/>
      <c r="J125" s="400"/>
    </row>
    <row r="126" spans="2:10" s="384" customFormat="1" x14ac:dyDescent="0.2">
      <c r="B126" s="398"/>
      <c r="C126" s="399"/>
      <c r="D126" s="398"/>
      <c r="E126" s="398"/>
      <c r="F126" s="398"/>
      <c r="G126" s="398"/>
      <c r="H126" s="398"/>
      <c r="I126" s="398"/>
      <c r="J126" s="400"/>
    </row>
    <row r="127" spans="2:10" s="384" customFormat="1" x14ac:dyDescent="0.2">
      <c r="B127" s="398"/>
      <c r="C127" s="399"/>
      <c r="D127" s="398"/>
      <c r="E127" s="398"/>
      <c r="F127" s="398"/>
      <c r="G127" s="398"/>
      <c r="H127" s="398"/>
      <c r="I127" s="398"/>
      <c r="J127" s="400"/>
    </row>
    <row r="128" spans="2:10" s="384" customFormat="1" x14ac:dyDescent="0.2">
      <c r="B128" s="398"/>
      <c r="C128" s="399"/>
      <c r="D128" s="398"/>
      <c r="E128" s="398"/>
      <c r="F128" s="398"/>
      <c r="G128" s="398"/>
      <c r="H128" s="398"/>
      <c r="I128" s="398"/>
      <c r="J128" s="400"/>
    </row>
    <row r="129" spans="2:10" s="384" customFormat="1" x14ac:dyDescent="0.2">
      <c r="B129" s="398"/>
      <c r="C129" s="399"/>
      <c r="D129" s="398"/>
      <c r="E129" s="398"/>
      <c r="F129" s="398"/>
      <c r="G129" s="398"/>
      <c r="H129" s="398"/>
      <c r="I129" s="398"/>
      <c r="J129" s="400"/>
    </row>
    <row r="130" spans="2:10" s="384" customFormat="1" x14ac:dyDescent="0.2">
      <c r="B130" s="398"/>
      <c r="C130" s="399"/>
      <c r="D130" s="398"/>
      <c r="E130" s="398"/>
      <c r="F130" s="398"/>
      <c r="G130" s="398"/>
      <c r="H130" s="398"/>
      <c r="I130" s="398"/>
      <c r="J130" s="400"/>
    </row>
    <row r="131" spans="2:10" s="384" customFormat="1" x14ac:dyDescent="0.2">
      <c r="B131" s="398"/>
      <c r="C131" s="399"/>
      <c r="D131" s="398"/>
      <c r="E131" s="398"/>
      <c r="F131" s="398"/>
      <c r="G131" s="398"/>
      <c r="H131" s="398"/>
      <c r="I131" s="398"/>
      <c r="J131" s="400"/>
    </row>
    <row r="132" spans="2:10" s="384" customFormat="1" x14ac:dyDescent="0.2">
      <c r="B132" s="398"/>
      <c r="C132" s="399"/>
      <c r="D132" s="398"/>
      <c r="E132" s="398"/>
      <c r="F132" s="398"/>
      <c r="G132" s="398"/>
      <c r="H132" s="398"/>
      <c r="I132" s="398"/>
      <c r="J132" s="400"/>
    </row>
    <row r="133" spans="2:10" s="384" customFormat="1" x14ac:dyDescent="0.2">
      <c r="B133" s="398"/>
      <c r="C133" s="399"/>
      <c r="D133" s="398"/>
      <c r="E133" s="398"/>
      <c r="F133" s="398"/>
      <c r="G133" s="398"/>
      <c r="H133" s="398"/>
      <c r="I133" s="398"/>
      <c r="J133" s="400"/>
    </row>
    <row r="134" spans="2:10" s="384" customFormat="1" x14ac:dyDescent="0.2">
      <c r="B134" s="398"/>
      <c r="C134" s="399"/>
      <c r="D134" s="398"/>
      <c r="E134" s="398"/>
      <c r="F134" s="398"/>
      <c r="G134" s="398"/>
      <c r="H134" s="398"/>
      <c r="I134" s="398"/>
      <c r="J134" s="400"/>
    </row>
    <row r="135" spans="2:10" s="384" customFormat="1" x14ac:dyDescent="0.2">
      <c r="B135" s="398"/>
      <c r="C135" s="399"/>
      <c r="D135" s="398"/>
      <c r="E135" s="398"/>
      <c r="F135" s="398"/>
      <c r="G135" s="398"/>
      <c r="H135" s="398"/>
      <c r="I135" s="398"/>
      <c r="J135" s="400"/>
    </row>
    <row r="136" spans="2:10" s="384" customFormat="1" x14ac:dyDescent="0.2">
      <c r="B136" s="398"/>
      <c r="C136" s="399"/>
      <c r="D136" s="398"/>
      <c r="E136" s="398"/>
      <c r="F136" s="398"/>
      <c r="G136" s="398"/>
      <c r="H136" s="398"/>
      <c r="I136" s="398"/>
      <c r="J136" s="400"/>
    </row>
    <row r="137" spans="2:10" s="384" customFormat="1" x14ac:dyDescent="0.2">
      <c r="B137" s="398"/>
      <c r="C137" s="399"/>
      <c r="D137" s="398"/>
      <c r="E137" s="398"/>
      <c r="F137" s="398"/>
      <c r="G137" s="398"/>
      <c r="H137" s="398"/>
      <c r="I137" s="398"/>
      <c r="J137" s="400"/>
    </row>
    <row r="138" spans="2:10" s="384" customFormat="1" x14ac:dyDescent="0.2">
      <c r="B138" s="398"/>
      <c r="C138" s="399"/>
      <c r="D138" s="398"/>
      <c r="E138" s="398"/>
      <c r="F138" s="398"/>
      <c r="G138" s="398"/>
      <c r="H138" s="398"/>
      <c r="I138" s="398"/>
      <c r="J138" s="400"/>
    </row>
    <row r="139" spans="2:10" s="384" customFormat="1" x14ac:dyDescent="0.2">
      <c r="B139" s="398"/>
      <c r="C139" s="399"/>
      <c r="D139" s="398"/>
      <c r="E139" s="398"/>
      <c r="F139" s="398"/>
      <c r="G139" s="398"/>
      <c r="H139" s="398"/>
      <c r="I139" s="398"/>
      <c r="J139" s="400"/>
    </row>
    <row r="140" spans="2:10" s="384" customFormat="1" x14ac:dyDescent="0.2">
      <c r="B140" s="398"/>
      <c r="C140" s="399"/>
      <c r="D140" s="398"/>
      <c r="E140" s="398"/>
      <c r="F140" s="398"/>
      <c r="G140" s="398"/>
      <c r="H140" s="398"/>
      <c r="I140" s="398"/>
      <c r="J140" s="400"/>
    </row>
    <row r="141" spans="2:10" s="384" customFormat="1" x14ac:dyDescent="0.2">
      <c r="B141" s="398"/>
      <c r="C141" s="399"/>
      <c r="D141" s="398"/>
      <c r="E141" s="398"/>
      <c r="F141" s="398"/>
      <c r="G141" s="398"/>
      <c r="H141" s="398"/>
      <c r="I141" s="398"/>
      <c r="J141" s="400"/>
    </row>
    <row r="142" spans="2:10" s="384" customFormat="1" x14ac:dyDescent="0.2">
      <c r="B142" s="398"/>
      <c r="C142" s="399"/>
      <c r="D142" s="398"/>
      <c r="E142" s="398"/>
      <c r="F142" s="398"/>
      <c r="G142" s="398"/>
      <c r="H142" s="398"/>
      <c r="I142" s="398"/>
      <c r="J142" s="400"/>
    </row>
    <row r="143" spans="2:10" s="384" customFormat="1" x14ac:dyDescent="0.2">
      <c r="B143" s="398"/>
      <c r="C143" s="399"/>
      <c r="D143" s="398"/>
      <c r="E143" s="398"/>
      <c r="F143" s="398"/>
      <c r="G143" s="398"/>
      <c r="H143" s="398"/>
      <c r="I143" s="398"/>
      <c r="J143" s="400"/>
    </row>
    <row r="144" spans="2:10" s="384" customFormat="1" x14ac:dyDescent="0.2">
      <c r="B144" s="398"/>
      <c r="C144" s="399"/>
      <c r="D144" s="398"/>
      <c r="E144" s="398"/>
      <c r="F144" s="398"/>
      <c r="G144" s="398"/>
      <c r="H144" s="398"/>
      <c r="I144" s="398"/>
      <c r="J144" s="400"/>
    </row>
    <row r="145" spans="2:10" s="384" customFormat="1" x14ac:dyDescent="0.2">
      <c r="B145" s="398"/>
      <c r="C145" s="399"/>
      <c r="D145" s="398"/>
      <c r="E145" s="398"/>
      <c r="F145" s="398"/>
      <c r="G145" s="398"/>
      <c r="H145" s="398"/>
      <c r="I145" s="398"/>
      <c r="J145" s="400"/>
    </row>
    <row r="146" spans="2:10" s="384" customFormat="1" x14ac:dyDescent="0.2">
      <c r="B146" s="398"/>
      <c r="C146" s="399"/>
      <c r="D146" s="398"/>
      <c r="E146" s="398"/>
      <c r="F146" s="398"/>
      <c r="G146" s="398"/>
      <c r="H146" s="398"/>
      <c r="I146" s="398"/>
      <c r="J146" s="400"/>
    </row>
    <row r="147" spans="2:10" s="384" customFormat="1" x14ac:dyDescent="0.2">
      <c r="B147" s="398"/>
      <c r="C147" s="399"/>
      <c r="D147" s="398"/>
      <c r="E147" s="398"/>
      <c r="F147" s="398"/>
      <c r="G147" s="398"/>
      <c r="H147" s="398"/>
      <c r="I147" s="398"/>
      <c r="J147" s="400"/>
    </row>
    <row r="148" spans="2:10" s="384" customFormat="1" x14ac:dyDescent="0.2">
      <c r="B148" s="398"/>
      <c r="C148" s="399"/>
      <c r="D148" s="398"/>
      <c r="E148" s="398"/>
      <c r="F148" s="398"/>
      <c r="G148" s="398"/>
      <c r="H148" s="398"/>
      <c r="I148" s="398"/>
      <c r="J148" s="400"/>
    </row>
    <row r="149" spans="2:10" s="384" customFormat="1" x14ac:dyDescent="0.2">
      <c r="B149" s="398"/>
      <c r="C149" s="399"/>
      <c r="D149" s="398"/>
      <c r="E149" s="398"/>
      <c r="F149" s="398"/>
      <c r="G149" s="398"/>
      <c r="H149" s="398"/>
      <c r="I149" s="398"/>
      <c r="J149" s="400"/>
    </row>
    <row r="150" spans="2:10" s="384" customFormat="1" x14ac:dyDescent="0.2">
      <c r="B150" s="398"/>
      <c r="C150" s="399"/>
      <c r="D150" s="398"/>
      <c r="E150" s="398"/>
      <c r="F150" s="398"/>
      <c r="G150" s="398"/>
      <c r="H150" s="398"/>
      <c r="I150" s="398"/>
      <c r="J150" s="400"/>
    </row>
    <row r="151" spans="2:10" s="384" customFormat="1" x14ac:dyDescent="0.2">
      <c r="B151" s="398"/>
      <c r="C151" s="399"/>
      <c r="D151" s="398"/>
      <c r="E151" s="398"/>
      <c r="F151" s="398"/>
      <c r="G151" s="398"/>
      <c r="H151" s="398"/>
      <c r="I151" s="398"/>
      <c r="J151" s="400"/>
    </row>
    <row r="152" spans="2:10" s="384" customFormat="1" x14ac:dyDescent="0.2">
      <c r="B152" s="398"/>
      <c r="C152" s="399"/>
      <c r="D152" s="398"/>
      <c r="E152" s="398"/>
      <c r="F152" s="398"/>
      <c r="G152" s="398"/>
      <c r="H152" s="398"/>
      <c r="I152" s="398"/>
      <c r="J152" s="400"/>
    </row>
    <row r="153" spans="2:10" s="384" customFormat="1" x14ac:dyDescent="0.2">
      <c r="B153" s="398"/>
      <c r="C153" s="399"/>
      <c r="D153" s="398"/>
      <c r="E153" s="398"/>
      <c r="F153" s="398"/>
      <c r="G153" s="398"/>
      <c r="H153" s="398"/>
      <c r="I153" s="398"/>
      <c r="J153" s="400"/>
    </row>
    <row r="154" spans="2:10" s="384" customFormat="1" x14ac:dyDescent="0.2">
      <c r="B154" s="398"/>
      <c r="C154" s="399"/>
      <c r="D154" s="398"/>
      <c r="E154" s="398"/>
      <c r="F154" s="398"/>
      <c r="G154" s="398"/>
      <c r="H154" s="398"/>
      <c r="I154" s="398"/>
      <c r="J154" s="400"/>
    </row>
    <row r="155" spans="2:10" s="384" customFormat="1" x14ac:dyDescent="0.2">
      <c r="B155" s="398"/>
      <c r="C155" s="399"/>
      <c r="D155" s="398"/>
      <c r="E155" s="398"/>
      <c r="F155" s="398"/>
      <c r="G155" s="398"/>
      <c r="H155" s="398"/>
      <c r="I155" s="398"/>
      <c r="J155" s="400"/>
    </row>
    <row r="156" spans="2:10" s="384" customFormat="1" x14ac:dyDescent="0.2">
      <c r="B156" s="398"/>
      <c r="C156" s="399"/>
      <c r="D156" s="398"/>
      <c r="E156" s="398"/>
      <c r="F156" s="398"/>
      <c r="G156" s="398"/>
      <c r="H156" s="398"/>
      <c r="I156" s="398"/>
      <c r="J156" s="400"/>
    </row>
    <row r="157" spans="2:10" s="384" customFormat="1" x14ac:dyDescent="0.2">
      <c r="B157" s="398"/>
      <c r="C157" s="399"/>
      <c r="D157" s="398"/>
      <c r="E157" s="398"/>
      <c r="F157" s="398"/>
      <c r="G157" s="398"/>
      <c r="H157" s="398"/>
      <c r="I157" s="398"/>
      <c r="J157" s="400"/>
    </row>
    <row r="158" spans="2:10" s="384" customFormat="1" x14ac:dyDescent="0.2">
      <c r="B158" s="398"/>
      <c r="C158" s="399"/>
      <c r="D158" s="398"/>
      <c r="E158" s="398"/>
      <c r="F158" s="398"/>
      <c r="G158" s="398"/>
      <c r="H158" s="398"/>
      <c r="I158" s="398"/>
      <c r="J158" s="400"/>
    </row>
    <row r="159" spans="2:10" s="384" customFormat="1" x14ac:dyDescent="0.2">
      <c r="B159" s="398"/>
      <c r="C159" s="399"/>
      <c r="D159" s="398"/>
      <c r="E159" s="398"/>
      <c r="F159" s="398"/>
      <c r="G159" s="398"/>
      <c r="H159" s="398"/>
      <c r="I159" s="398"/>
      <c r="J159" s="400"/>
    </row>
    <row r="160" spans="2:10" s="384" customFormat="1" x14ac:dyDescent="0.2">
      <c r="B160" s="398"/>
      <c r="C160" s="399"/>
      <c r="D160" s="398"/>
      <c r="E160" s="398"/>
      <c r="F160" s="398"/>
      <c r="G160" s="398"/>
      <c r="H160" s="398"/>
      <c r="I160" s="398"/>
      <c r="J160" s="400"/>
    </row>
    <row r="161" spans="2:10" s="384" customFormat="1" x14ac:dyDescent="0.2">
      <c r="B161" s="398"/>
      <c r="C161" s="399"/>
      <c r="D161" s="398"/>
      <c r="E161" s="398"/>
      <c r="F161" s="398"/>
      <c r="G161" s="398"/>
      <c r="H161" s="398"/>
      <c r="I161" s="398"/>
      <c r="J161" s="400"/>
    </row>
    <row r="162" spans="2:10" s="384" customFormat="1" x14ac:dyDescent="0.2">
      <c r="B162" s="398"/>
      <c r="C162" s="399"/>
      <c r="D162" s="398"/>
      <c r="E162" s="398"/>
      <c r="F162" s="398"/>
      <c r="G162" s="398"/>
      <c r="H162" s="398"/>
      <c r="I162" s="398"/>
      <c r="J162" s="400"/>
    </row>
    <row r="163" spans="2:10" s="384" customFormat="1" x14ac:dyDescent="0.2">
      <c r="B163" s="398"/>
      <c r="C163" s="399"/>
      <c r="D163" s="398"/>
      <c r="E163" s="398"/>
      <c r="F163" s="398"/>
      <c r="G163" s="398"/>
      <c r="H163" s="398"/>
      <c r="I163" s="398"/>
      <c r="J163" s="400"/>
    </row>
    <row r="164" spans="2:10" s="384" customFormat="1" x14ac:dyDescent="0.2">
      <c r="B164" s="398"/>
      <c r="C164" s="399"/>
      <c r="D164" s="398"/>
      <c r="E164" s="398"/>
      <c r="F164" s="398"/>
      <c r="G164" s="398"/>
      <c r="H164" s="398"/>
      <c r="I164" s="398"/>
      <c r="J164" s="400"/>
    </row>
    <row r="165" spans="2:10" s="384" customFormat="1" x14ac:dyDescent="0.2">
      <c r="B165" s="398"/>
      <c r="C165" s="399"/>
      <c r="D165" s="398"/>
      <c r="E165" s="398"/>
      <c r="F165" s="398"/>
      <c r="G165" s="398"/>
      <c r="H165" s="398"/>
      <c r="I165" s="398"/>
      <c r="J165" s="400"/>
    </row>
    <row r="166" spans="2:10" s="384" customFormat="1" x14ac:dyDescent="0.2">
      <c r="B166" s="398"/>
      <c r="C166" s="399"/>
      <c r="D166" s="398"/>
      <c r="E166" s="398"/>
      <c r="F166" s="398"/>
      <c r="G166" s="398"/>
      <c r="H166" s="398"/>
      <c r="I166" s="398"/>
      <c r="J166" s="400"/>
    </row>
    <row r="167" spans="2:10" s="384" customFormat="1" x14ac:dyDescent="0.2">
      <c r="B167" s="398"/>
      <c r="C167" s="399"/>
      <c r="D167" s="398"/>
      <c r="E167" s="398"/>
      <c r="F167" s="398"/>
      <c r="G167" s="398"/>
      <c r="H167" s="398"/>
      <c r="I167" s="398"/>
      <c r="J167" s="400"/>
    </row>
    <row r="168" spans="2:10" s="384" customFormat="1" x14ac:dyDescent="0.2">
      <c r="B168" s="398"/>
      <c r="C168" s="399"/>
      <c r="D168" s="398"/>
      <c r="E168" s="398"/>
      <c r="F168" s="398"/>
      <c r="G168" s="398"/>
      <c r="H168" s="398"/>
      <c r="I168" s="398"/>
      <c r="J168" s="400"/>
    </row>
    <row r="169" spans="2:10" s="384" customFormat="1" x14ac:dyDescent="0.2">
      <c r="B169" s="398"/>
      <c r="C169" s="399"/>
      <c r="D169" s="398"/>
      <c r="E169" s="398"/>
      <c r="F169" s="398"/>
      <c r="G169" s="398"/>
      <c r="H169" s="398"/>
      <c r="I169" s="398"/>
      <c r="J169" s="400"/>
    </row>
    <row r="170" spans="2:10" s="384" customFormat="1" x14ac:dyDescent="0.2">
      <c r="B170" s="398"/>
      <c r="C170" s="399"/>
      <c r="D170" s="398"/>
      <c r="E170" s="398"/>
      <c r="F170" s="398"/>
      <c r="G170" s="398"/>
      <c r="H170" s="398"/>
      <c r="I170" s="398"/>
      <c r="J170" s="400"/>
    </row>
    <row r="171" spans="2:10" s="384" customFormat="1" x14ac:dyDescent="0.2">
      <c r="B171" s="398"/>
      <c r="C171" s="399"/>
      <c r="D171" s="398"/>
      <c r="E171" s="398"/>
      <c r="F171" s="398"/>
      <c r="G171" s="398"/>
      <c r="H171" s="398"/>
      <c r="I171" s="398"/>
      <c r="J171" s="400"/>
    </row>
    <row r="172" spans="2:10" s="384" customFormat="1" x14ac:dyDescent="0.2">
      <c r="B172" s="398"/>
      <c r="C172" s="399"/>
      <c r="D172" s="398"/>
      <c r="E172" s="398"/>
      <c r="F172" s="398"/>
      <c r="G172" s="398"/>
      <c r="H172" s="398"/>
      <c r="I172" s="398"/>
      <c r="J172" s="400"/>
    </row>
    <row r="173" spans="2:10" s="384" customFormat="1" x14ac:dyDescent="0.2">
      <c r="B173" s="398"/>
      <c r="C173" s="399"/>
      <c r="D173" s="398"/>
      <c r="E173" s="398"/>
      <c r="F173" s="398"/>
      <c r="G173" s="398"/>
      <c r="H173" s="398"/>
      <c r="I173" s="398"/>
      <c r="J173" s="400"/>
    </row>
    <row r="174" spans="2:10" s="384" customFormat="1" x14ac:dyDescent="0.2">
      <c r="B174" s="398"/>
      <c r="C174" s="399"/>
      <c r="D174" s="398"/>
      <c r="E174" s="398"/>
      <c r="F174" s="398"/>
      <c r="G174" s="398"/>
      <c r="H174" s="398"/>
      <c r="I174" s="398"/>
      <c r="J174" s="400"/>
    </row>
    <row r="175" spans="2:10" s="384" customFormat="1" x14ac:dyDescent="0.2">
      <c r="B175" s="398"/>
      <c r="C175" s="399"/>
      <c r="D175" s="398"/>
      <c r="E175" s="398"/>
      <c r="F175" s="398"/>
      <c r="G175" s="398"/>
      <c r="H175" s="398"/>
      <c r="I175" s="398"/>
      <c r="J175" s="400"/>
    </row>
    <row r="176" spans="2:10" s="384" customFormat="1" x14ac:dyDescent="0.2">
      <c r="B176" s="398"/>
      <c r="C176" s="399"/>
      <c r="D176" s="398"/>
      <c r="E176" s="398"/>
      <c r="F176" s="398"/>
      <c r="G176" s="398"/>
      <c r="H176" s="398"/>
      <c r="I176" s="398"/>
      <c r="J176" s="400"/>
    </row>
    <row r="177" spans="2:10" s="384" customFormat="1" x14ac:dyDescent="0.2">
      <c r="B177" s="398"/>
      <c r="C177" s="399"/>
      <c r="D177" s="398"/>
      <c r="E177" s="398"/>
      <c r="F177" s="398"/>
      <c r="G177" s="398"/>
      <c r="H177" s="398"/>
      <c r="I177" s="398"/>
      <c r="J177" s="400"/>
    </row>
    <row r="178" spans="2:10" s="384" customFormat="1" x14ac:dyDescent="0.2">
      <c r="B178" s="398"/>
      <c r="C178" s="399"/>
      <c r="D178" s="398"/>
      <c r="E178" s="398"/>
      <c r="F178" s="398"/>
      <c r="G178" s="398"/>
      <c r="H178" s="398"/>
      <c r="I178" s="398"/>
      <c r="J178" s="400"/>
    </row>
    <row r="179" spans="2:10" s="384" customFormat="1" x14ac:dyDescent="0.2">
      <c r="B179" s="398"/>
      <c r="C179" s="399"/>
      <c r="D179" s="398"/>
      <c r="E179" s="398"/>
      <c r="F179" s="398"/>
      <c r="G179" s="398"/>
      <c r="H179" s="398"/>
      <c r="I179" s="398"/>
      <c r="J179" s="400"/>
    </row>
    <row r="180" spans="2:10" s="384" customFormat="1" x14ac:dyDescent="0.2">
      <c r="B180" s="398"/>
      <c r="C180" s="399"/>
      <c r="D180" s="398"/>
      <c r="E180" s="398"/>
      <c r="F180" s="398"/>
      <c r="G180" s="398"/>
      <c r="H180" s="398"/>
      <c r="I180" s="398"/>
      <c r="J180" s="400"/>
    </row>
    <row r="181" spans="2:10" s="384" customFormat="1" x14ac:dyDescent="0.2">
      <c r="B181" s="398"/>
      <c r="C181" s="399"/>
      <c r="D181" s="398"/>
      <c r="E181" s="398"/>
      <c r="F181" s="398"/>
      <c r="G181" s="398"/>
      <c r="H181" s="398"/>
      <c r="I181" s="398"/>
      <c r="J181" s="400"/>
    </row>
    <row r="182" spans="2:10" s="384" customFormat="1" x14ac:dyDescent="0.2">
      <c r="B182" s="398"/>
      <c r="C182" s="399"/>
      <c r="D182" s="398"/>
      <c r="E182" s="398"/>
      <c r="F182" s="398"/>
      <c r="G182" s="398"/>
      <c r="H182" s="398"/>
      <c r="I182" s="398"/>
      <c r="J182" s="400"/>
    </row>
    <row r="183" spans="2:10" s="384" customFormat="1" x14ac:dyDescent="0.2">
      <c r="B183" s="398"/>
      <c r="C183" s="399"/>
      <c r="D183" s="398"/>
      <c r="E183" s="398"/>
      <c r="F183" s="398"/>
      <c r="G183" s="398"/>
      <c r="H183" s="398"/>
      <c r="I183" s="398"/>
      <c r="J183" s="400"/>
    </row>
    <row r="184" spans="2:10" s="384" customFormat="1" x14ac:dyDescent="0.2">
      <c r="B184" s="398"/>
      <c r="C184" s="399"/>
      <c r="D184" s="398"/>
      <c r="E184" s="398"/>
      <c r="F184" s="398"/>
      <c r="G184" s="398"/>
      <c r="H184" s="398"/>
      <c r="I184" s="398"/>
      <c r="J184" s="400"/>
    </row>
    <row r="185" spans="2:10" s="384" customFormat="1" x14ac:dyDescent="0.2">
      <c r="B185" s="398"/>
      <c r="C185" s="399"/>
      <c r="D185" s="398"/>
      <c r="E185" s="398"/>
      <c r="F185" s="398"/>
      <c r="G185" s="398"/>
      <c r="H185" s="398"/>
      <c r="I185" s="398"/>
      <c r="J185" s="400"/>
    </row>
    <row r="186" spans="2:10" s="384" customFormat="1" x14ac:dyDescent="0.2">
      <c r="B186" s="398"/>
      <c r="C186" s="399"/>
      <c r="D186" s="398"/>
      <c r="E186" s="398"/>
      <c r="F186" s="398"/>
      <c r="G186" s="398"/>
      <c r="H186" s="398"/>
      <c r="I186" s="398"/>
      <c r="J186" s="400"/>
    </row>
    <row r="187" spans="2:10" s="384" customFormat="1" x14ac:dyDescent="0.2">
      <c r="B187" s="398"/>
      <c r="C187" s="399"/>
      <c r="D187" s="398"/>
      <c r="E187" s="398"/>
      <c r="F187" s="398"/>
      <c r="G187" s="398"/>
      <c r="H187" s="398"/>
      <c r="I187" s="398"/>
      <c r="J187" s="400"/>
    </row>
    <row r="188" spans="2:10" s="384" customFormat="1" x14ac:dyDescent="0.2">
      <c r="B188" s="398"/>
      <c r="C188" s="399"/>
      <c r="D188" s="398"/>
      <c r="E188" s="398"/>
      <c r="F188" s="398"/>
      <c r="G188" s="398"/>
      <c r="H188" s="398"/>
      <c r="I188" s="398"/>
      <c r="J188" s="400"/>
    </row>
    <row r="189" spans="2:10" s="384" customFormat="1" x14ac:dyDescent="0.2">
      <c r="B189" s="398"/>
      <c r="C189" s="399"/>
      <c r="D189" s="398"/>
      <c r="E189" s="398"/>
      <c r="F189" s="398"/>
      <c r="G189" s="398"/>
      <c r="H189" s="398"/>
      <c r="I189" s="398"/>
      <c r="J189" s="400"/>
    </row>
    <row r="190" spans="2:10" s="384" customFormat="1" x14ac:dyDescent="0.2">
      <c r="B190" s="398"/>
      <c r="C190" s="399"/>
      <c r="D190" s="398"/>
      <c r="E190" s="398"/>
      <c r="F190" s="398"/>
      <c r="G190" s="398"/>
      <c r="H190" s="398"/>
      <c r="I190" s="398"/>
      <c r="J190" s="400"/>
    </row>
    <row r="191" spans="2:10" s="384" customFormat="1" x14ac:dyDescent="0.2">
      <c r="B191" s="398"/>
      <c r="C191" s="399"/>
      <c r="D191" s="398"/>
      <c r="E191" s="398"/>
      <c r="F191" s="398"/>
      <c r="G191" s="398"/>
      <c r="H191" s="398"/>
      <c r="I191" s="398"/>
      <c r="J191" s="400"/>
    </row>
    <row r="192" spans="2:10" s="384" customFormat="1" x14ac:dyDescent="0.2">
      <c r="B192" s="398"/>
      <c r="C192" s="399"/>
      <c r="D192" s="398"/>
      <c r="E192" s="398"/>
      <c r="F192" s="398"/>
      <c r="G192" s="398"/>
      <c r="H192" s="398"/>
      <c r="I192" s="398"/>
      <c r="J192" s="400"/>
    </row>
    <row r="193" spans="2:10" s="384" customFormat="1" x14ac:dyDescent="0.2">
      <c r="B193" s="398"/>
      <c r="C193" s="399"/>
      <c r="D193" s="398"/>
      <c r="E193" s="398"/>
      <c r="F193" s="398"/>
      <c r="G193" s="398"/>
      <c r="H193" s="398"/>
      <c r="I193" s="398"/>
      <c r="J193" s="400"/>
    </row>
    <row r="194" spans="2:10" s="384" customFormat="1" x14ac:dyDescent="0.2">
      <c r="B194" s="398"/>
      <c r="C194" s="399"/>
      <c r="D194" s="398"/>
      <c r="E194" s="398"/>
      <c r="F194" s="398"/>
      <c r="G194" s="398"/>
      <c r="H194" s="398"/>
      <c r="I194" s="398"/>
      <c r="J194" s="400"/>
    </row>
    <row r="195" spans="2:10" s="384" customFormat="1" x14ac:dyDescent="0.2">
      <c r="B195" s="398"/>
      <c r="C195" s="399"/>
      <c r="D195" s="398"/>
      <c r="E195" s="398"/>
      <c r="F195" s="398"/>
      <c r="G195" s="398"/>
      <c r="H195" s="398"/>
      <c r="I195" s="398"/>
      <c r="J195" s="400"/>
    </row>
    <row r="196" spans="2:10" s="384" customFormat="1" x14ac:dyDescent="0.2">
      <c r="B196" s="398"/>
      <c r="C196" s="399"/>
      <c r="D196" s="398"/>
      <c r="E196" s="398"/>
      <c r="F196" s="398"/>
      <c r="G196" s="398"/>
      <c r="H196" s="398"/>
      <c r="I196" s="398"/>
      <c r="J196" s="400"/>
    </row>
    <row r="197" spans="2:10" s="384" customFormat="1" x14ac:dyDescent="0.2">
      <c r="B197" s="398"/>
      <c r="C197" s="399"/>
      <c r="D197" s="398"/>
      <c r="E197" s="398"/>
      <c r="F197" s="398"/>
      <c r="G197" s="398"/>
      <c r="H197" s="398"/>
      <c r="I197" s="398"/>
      <c r="J197" s="400"/>
    </row>
    <row r="198" spans="2:10" s="384" customFormat="1" x14ac:dyDescent="0.2">
      <c r="B198" s="398"/>
      <c r="C198" s="399"/>
      <c r="D198" s="398"/>
      <c r="E198" s="398"/>
      <c r="F198" s="398"/>
      <c r="G198" s="398"/>
      <c r="H198" s="398"/>
      <c r="I198" s="398"/>
      <c r="J198" s="400"/>
    </row>
    <row r="199" spans="2:10" s="384" customFormat="1" x14ac:dyDescent="0.2">
      <c r="B199" s="398"/>
      <c r="C199" s="399"/>
      <c r="D199" s="398"/>
      <c r="E199" s="398"/>
      <c r="F199" s="398"/>
      <c r="G199" s="398"/>
      <c r="H199" s="398"/>
      <c r="I199" s="398"/>
      <c r="J199" s="400"/>
    </row>
    <row r="200" spans="2:10" s="384" customFormat="1" x14ac:dyDescent="0.2">
      <c r="B200" s="398"/>
      <c r="C200" s="399"/>
      <c r="D200" s="398"/>
      <c r="E200" s="398"/>
      <c r="F200" s="398"/>
      <c r="G200" s="398"/>
      <c r="H200" s="398"/>
      <c r="I200" s="398"/>
      <c r="J200" s="400"/>
    </row>
    <row r="201" spans="2:10" s="384" customFormat="1" x14ac:dyDescent="0.2">
      <c r="B201" s="398"/>
      <c r="C201" s="399"/>
      <c r="D201" s="398"/>
      <c r="E201" s="398"/>
      <c r="F201" s="398"/>
      <c r="G201" s="398"/>
      <c r="H201" s="398"/>
      <c r="I201" s="398"/>
      <c r="J201" s="400"/>
    </row>
    <row r="202" spans="2:10" s="384" customFormat="1" x14ac:dyDescent="0.2">
      <c r="B202" s="398"/>
      <c r="C202" s="399"/>
      <c r="D202" s="398"/>
      <c r="E202" s="398"/>
      <c r="F202" s="398"/>
      <c r="G202" s="398"/>
      <c r="H202" s="398"/>
      <c r="I202" s="398"/>
      <c r="J202" s="400"/>
    </row>
    <row r="203" spans="2:10" s="384" customFormat="1" x14ac:dyDescent="0.2">
      <c r="B203" s="398"/>
      <c r="C203" s="399"/>
      <c r="D203" s="398"/>
      <c r="E203" s="398"/>
      <c r="F203" s="398"/>
      <c r="G203" s="398"/>
      <c r="H203" s="398"/>
      <c r="I203" s="398"/>
      <c r="J203" s="400"/>
    </row>
    <row r="204" spans="2:10" s="384" customFormat="1" x14ac:dyDescent="0.2">
      <c r="B204" s="398"/>
      <c r="C204" s="399"/>
      <c r="D204" s="398"/>
      <c r="E204" s="398"/>
      <c r="F204" s="398"/>
      <c r="G204" s="398"/>
      <c r="H204" s="398"/>
      <c r="I204" s="398"/>
      <c r="J204" s="400"/>
    </row>
    <row r="205" spans="2:10" s="384" customFormat="1" x14ac:dyDescent="0.2">
      <c r="B205" s="398"/>
      <c r="C205" s="399"/>
      <c r="D205" s="398"/>
      <c r="E205" s="398"/>
      <c r="F205" s="398"/>
      <c r="G205" s="398"/>
      <c r="H205" s="398"/>
      <c r="I205" s="398"/>
      <c r="J205" s="400"/>
    </row>
    <row r="206" spans="2:10" s="384" customFormat="1" x14ac:dyDescent="0.2">
      <c r="B206" s="398"/>
      <c r="C206" s="399"/>
      <c r="D206" s="398"/>
      <c r="E206" s="398"/>
      <c r="F206" s="398"/>
      <c r="G206" s="398"/>
      <c r="H206" s="398"/>
      <c r="I206" s="398"/>
      <c r="J206" s="400"/>
    </row>
    <row r="207" spans="2:10" s="384" customFormat="1" x14ac:dyDescent="0.2">
      <c r="B207" s="398"/>
      <c r="C207" s="399"/>
      <c r="D207" s="398"/>
      <c r="E207" s="398"/>
      <c r="F207" s="398"/>
      <c r="G207" s="398"/>
      <c r="H207" s="398"/>
      <c r="I207" s="398"/>
      <c r="J207" s="400"/>
    </row>
    <row r="208" spans="2:10" s="384" customFormat="1" x14ac:dyDescent="0.2">
      <c r="B208" s="398"/>
      <c r="C208" s="399"/>
      <c r="D208" s="398"/>
      <c r="E208" s="398"/>
      <c r="F208" s="398"/>
      <c r="G208" s="398"/>
      <c r="H208" s="398"/>
      <c r="I208" s="398"/>
      <c r="J208" s="400"/>
    </row>
    <row r="209" spans="2:10" s="384" customFormat="1" x14ac:dyDescent="0.2">
      <c r="B209" s="398"/>
      <c r="C209" s="399"/>
      <c r="D209" s="398"/>
      <c r="E209" s="398"/>
      <c r="F209" s="398"/>
      <c r="G209" s="398"/>
      <c r="H209" s="398"/>
      <c r="I209" s="398"/>
      <c r="J209" s="400"/>
    </row>
    <row r="210" spans="2:10" s="384" customFormat="1" x14ac:dyDescent="0.2">
      <c r="B210" s="398"/>
      <c r="C210" s="399"/>
      <c r="D210" s="398"/>
      <c r="E210" s="398"/>
      <c r="F210" s="398"/>
      <c r="G210" s="398"/>
      <c r="H210" s="398"/>
      <c r="I210" s="398"/>
      <c r="J210" s="400"/>
    </row>
    <row r="211" spans="2:10" s="384" customFormat="1" x14ac:dyDescent="0.2">
      <c r="B211" s="398"/>
      <c r="C211" s="399"/>
      <c r="D211" s="398"/>
      <c r="E211" s="398"/>
      <c r="F211" s="398"/>
      <c r="G211" s="398"/>
      <c r="H211" s="398"/>
      <c r="I211" s="398"/>
      <c r="J211" s="400"/>
    </row>
    <row r="212" spans="2:10" s="384" customFormat="1" x14ac:dyDescent="0.2">
      <c r="B212" s="398"/>
      <c r="C212" s="399"/>
      <c r="D212" s="398"/>
      <c r="E212" s="398"/>
      <c r="F212" s="398"/>
      <c r="G212" s="398"/>
      <c r="H212" s="398"/>
      <c r="I212" s="398"/>
      <c r="J212" s="400"/>
    </row>
    <row r="213" spans="2:10" s="384" customFormat="1" x14ac:dyDescent="0.2">
      <c r="B213" s="398"/>
      <c r="C213" s="399"/>
      <c r="D213" s="398"/>
      <c r="E213" s="398"/>
      <c r="F213" s="398"/>
      <c r="G213" s="398"/>
      <c r="H213" s="398"/>
      <c r="I213" s="398"/>
      <c r="J213" s="400"/>
    </row>
    <row r="214" spans="2:10" s="384" customFormat="1" x14ac:dyDescent="0.2">
      <c r="B214" s="398"/>
      <c r="C214" s="399"/>
      <c r="D214" s="398"/>
      <c r="E214" s="398"/>
      <c r="F214" s="398"/>
      <c r="G214" s="398"/>
      <c r="H214" s="398"/>
      <c r="I214" s="398"/>
      <c r="J214" s="400"/>
    </row>
    <row r="215" spans="2:10" s="384" customFormat="1" x14ac:dyDescent="0.2">
      <c r="B215" s="398"/>
      <c r="C215" s="399"/>
      <c r="D215" s="398"/>
      <c r="E215" s="398"/>
      <c r="F215" s="398"/>
      <c r="G215" s="398"/>
      <c r="H215" s="398"/>
      <c r="I215" s="398"/>
      <c r="J215" s="400"/>
    </row>
    <row r="216" spans="2:10" s="384" customFormat="1" x14ac:dyDescent="0.2">
      <c r="B216" s="398"/>
      <c r="C216" s="399"/>
      <c r="D216" s="398"/>
      <c r="E216" s="398"/>
      <c r="F216" s="398"/>
      <c r="G216" s="398"/>
      <c r="H216" s="398"/>
      <c r="I216" s="398"/>
      <c r="J216" s="400"/>
    </row>
    <row r="217" spans="2:10" s="384" customFormat="1" x14ac:dyDescent="0.2">
      <c r="B217" s="398"/>
      <c r="C217" s="399"/>
      <c r="D217" s="398"/>
      <c r="E217" s="398"/>
      <c r="F217" s="398"/>
      <c r="G217" s="398"/>
      <c r="H217" s="398"/>
      <c r="I217" s="398"/>
      <c r="J217" s="400"/>
    </row>
    <row r="218" spans="2:10" s="384" customFormat="1" x14ac:dyDescent="0.2">
      <c r="B218" s="398"/>
      <c r="C218" s="399"/>
      <c r="D218" s="398"/>
      <c r="E218" s="398"/>
      <c r="F218" s="398"/>
      <c r="G218" s="398"/>
      <c r="H218" s="398"/>
      <c r="I218" s="398"/>
      <c r="J218" s="400"/>
    </row>
    <row r="219" spans="2:10" s="384" customFormat="1" x14ac:dyDescent="0.2">
      <c r="B219" s="398"/>
      <c r="C219" s="399"/>
      <c r="D219" s="398"/>
      <c r="E219" s="398"/>
      <c r="F219" s="398"/>
      <c r="G219" s="398"/>
      <c r="H219" s="398"/>
      <c r="I219" s="398"/>
      <c r="J219" s="400"/>
    </row>
    <row r="220" spans="2:10" s="384" customFormat="1" x14ac:dyDescent="0.2">
      <c r="B220" s="398"/>
      <c r="C220" s="399"/>
      <c r="D220" s="398"/>
      <c r="E220" s="398"/>
      <c r="F220" s="398"/>
      <c r="G220" s="398"/>
      <c r="H220" s="398"/>
      <c r="I220" s="398"/>
      <c r="J220" s="400"/>
    </row>
    <row r="221" spans="2:10" s="384" customFormat="1" x14ac:dyDescent="0.2">
      <c r="B221" s="398"/>
      <c r="C221" s="399"/>
      <c r="D221" s="398"/>
      <c r="E221" s="398"/>
      <c r="F221" s="398"/>
      <c r="G221" s="398"/>
      <c r="H221" s="398"/>
      <c r="I221" s="398"/>
      <c r="J221" s="400"/>
    </row>
    <row r="222" spans="2:10" s="384" customFormat="1" x14ac:dyDescent="0.2">
      <c r="B222" s="398"/>
      <c r="C222" s="399"/>
      <c r="D222" s="398"/>
      <c r="E222" s="398"/>
      <c r="F222" s="398"/>
      <c r="G222" s="398"/>
      <c r="H222" s="398"/>
      <c r="I222" s="398"/>
      <c r="J222" s="400"/>
    </row>
    <row r="223" spans="2:10" s="384" customFormat="1" x14ac:dyDescent="0.2">
      <c r="B223" s="398"/>
      <c r="C223" s="399"/>
      <c r="D223" s="398"/>
      <c r="E223" s="398"/>
      <c r="F223" s="398"/>
      <c r="G223" s="398"/>
      <c r="H223" s="398"/>
      <c r="I223" s="398"/>
      <c r="J223" s="400"/>
    </row>
    <row r="224" spans="2:10" s="384" customFormat="1" x14ac:dyDescent="0.2">
      <c r="B224" s="398"/>
      <c r="C224" s="399"/>
      <c r="D224" s="398"/>
      <c r="E224" s="398"/>
      <c r="F224" s="398"/>
      <c r="G224" s="398"/>
      <c r="H224" s="398"/>
      <c r="I224" s="398"/>
      <c r="J224" s="400"/>
    </row>
    <row r="225" spans="2:10" s="384" customFormat="1" x14ac:dyDescent="0.2">
      <c r="B225" s="398"/>
      <c r="C225" s="399"/>
      <c r="D225" s="398"/>
      <c r="E225" s="398"/>
      <c r="F225" s="398"/>
      <c r="G225" s="398"/>
      <c r="H225" s="398"/>
      <c r="I225" s="398"/>
      <c r="J225" s="400"/>
    </row>
    <row r="226" spans="2:10" s="384" customFormat="1" x14ac:dyDescent="0.2">
      <c r="B226" s="398"/>
      <c r="C226" s="399"/>
      <c r="D226" s="398"/>
      <c r="E226" s="398"/>
      <c r="F226" s="398"/>
      <c r="G226" s="398"/>
      <c r="H226" s="398"/>
      <c r="I226" s="398"/>
      <c r="J226" s="400"/>
    </row>
    <row r="227" spans="2:10" s="384" customFormat="1" x14ac:dyDescent="0.2">
      <c r="B227" s="398"/>
      <c r="C227" s="399"/>
      <c r="D227" s="398"/>
      <c r="E227" s="398"/>
      <c r="F227" s="398"/>
      <c r="G227" s="398"/>
      <c r="H227" s="398"/>
      <c r="I227" s="398"/>
      <c r="J227" s="400"/>
    </row>
    <row r="228" spans="2:10" s="384" customFormat="1" x14ac:dyDescent="0.2">
      <c r="B228" s="398"/>
      <c r="C228" s="399"/>
      <c r="D228" s="398"/>
      <c r="E228" s="398"/>
      <c r="F228" s="398"/>
      <c r="G228" s="398"/>
      <c r="H228" s="398"/>
      <c r="I228" s="398"/>
      <c r="J228" s="400"/>
    </row>
    <row r="229" spans="2:10" s="384" customFormat="1" x14ac:dyDescent="0.2">
      <c r="B229" s="398"/>
      <c r="C229" s="399"/>
      <c r="D229" s="398"/>
      <c r="E229" s="398"/>
      <c r="F229" s="398"/>
      <c r="G229" s="398"/>
      <c r="H229" s="398"/>
      <c r="I229" s="398"/>
      <c r="J229" s="400"/>
    </row>
    <row r="230" spans="2:10" s="384" customFormat="1" x14ac:dyDescent="0.2">
      <c r="B230" s="398"/>
      <c r="C230" s="399"/>
      <c r="D230" s="398"/>
      <c r="E230" s="398"/>
      <c r="F230" s="398"/>
      <c r="G230" s="398"/>
      <c r="H230" s="398"/>
      <c r="I230" s="398"/>
      <c r="J230" s="400"/>
    </row>
    <row r="231" spans="2:10" s="384" customFormat="1" x14ac:dyDescent="0.2">
      <c r="B231" s="398"/>
      <c r="C231" s="399"/>
      <c r="D231" s="398"/>
      <c r="E231" s="398"/>
      <c r="F231" s="398"/>
      <c r="G231" s="398"/>
      <c r="H231" s="398"/>
      <c r="I231" s="398"/>
      <c r="J231" s="400"/>
    </row>
    <row r="232" spans="2:10" s="384" customFormat="1" x14ac:dyDescent="0.2">
      <c r="B232" s="398"/>
      <c r="C232" s="399"/>
      <c r="D232" s="398"/>
      <c r="E232" s="398"/>
      <c r="F232" s="398"/>
      <c r="G232" s="398"/>
      <c r="H232" s="398"/>
      <c r="I232" s="398"/>
      <c r="J232" s="400"/>
    </row>
    <row r="233" spans="2:10" s="384" customFormat="1" x14ac:dyDescent="0.2">
      <c r="B233" s="398"/>
      <c r="C233" s="399"/>
      <c r="D233" s="398"/>
      <c r="E233" s="398"/>
      <c r="F233" s="398"/>
      <c r="G233" s="398"/>
      <c r="H233" s="398"/>
      <c r="I233" s="398"/>
      <c r="J233" s="400"/>
    </row>
    <row r="234" spans="2:10" s="384" customFormat="1" x14ac:dyDescent="0.2">
      <c r="B234" s="398"/>
      <c r="C234" s="399"/>
      <c r="D234" s="398"/>
      <c r="E234" s="398"/>
      <c r="F234" s="398"/>
      <c r="G234" s="398"/>
      <c r="H234" s="398"/>
      <c r="I234" s="398"/>
      <c r="J234" s="400"/>
    </row>
    <row r="235" spans="2:10" s="384" customFormat="1" x14ac:dyDescent="0.2">
      <c r="B235" s="398"/>
      <c r="C235" s="399"/>
      <c r="D235" s="398"/>
      <c r="E235" s="398"/>
      <c r="F235" s="398"/>
      <c r="G235" s="398"/>
      <c r="H235" s="398"/>
      <c r="I235" s="398"/>
      <c r="J235" s="400"/>
    </row>
    <row r="236" spans="2:10" s="384" customFormat="1" x14ac:dyDescent="0.2">
      <c r="B236" s="398"/>
      <c r="C236" s="399"/>
      <c r="D236" s="398"/>
      <c r="E236" s="398"/>
      <c r="F236" s="398"/>
      <c r="G236" s="398"/>
      <c r="H236" s="398"/>
      <c r="I236" s="398"/>
      <c r="J236" s="400"/>
    </row>
    <row r="237" spans="2:10" s="384" customFormat="1" x14ac:dyDescent="0.2">
      <c r="B237" s="398"/>
      <c r="C237" s="399"/>
      <c r="D237" s="398"/>
      <c r="E237" s="398"/>
      <c r="F237" s="398"/>
      <c r="G237" s="398"/>
      <c r="H237" s="398"/>
      <c r="I237" s="398"/>
      <c r="J237" s="400"/>
    </row>
    <row r="238" spans="2:10" s="384" customFormat="1" x14ac:dyDescent="0.2">
      <c r="B238" s="398"/>
      <c r="C238" s="399"/>
      <c r="D238" s="398"/>
      <c r="E238" s="398"/>
      <c r="F238" s="398"/>
      <c r="G238" s="398"/>
      <c r="H238" s="398"/>
      <c r="I238" s="398"/>
      <c r="J238" s="400"/>
    </row>
    <row r="239" spans="2:10" s="384" customFormat="1" x14ac:dyDescent="0.2">
      <c r="B239" s="398"/>
      <c r="C239" s="399"/>
      <c r="D239" s="398"/>
      <c r="E239" s="398"/>
      <c r="F239" s="398"/>
      <c r="G239" s="398"/>
      <c r="H239" s="398"/>
      <c r="I239" s="398"/>
      <c r="J239" s="400"/>
    </row>
    <row r="240" spans="2:10" s="384" customFormat="1" x14ac:dyDescent="0.2">
      <c r="B240" s="398"/>
      <c r="C240" s="399"/>
      <c r="D240" s="398"/>
      <c r="E240" s="398"/>
      <c r="F240" s="398"/>
      <c r="G240" s="398"/>
      <c r="H240" s="398"/>
      <c r="I240" s="398"/>
      <c r="J240" s="400"/>
    </row>
    <row r="241" spans="2:10" s="384" customFormat="1" x14ac:dyDescent="0.2">
      <c r="B241" s="398"/>
      <c r="C241" s="399"/>
      <c r="D241" s="398"/>
      <c r="E241" s="398"/>
      <c r="F241" s="398"/>
      <c r="G241" s="398"/>
      <c r="H241" s="398"/>
      <c r="I241" s="398"/>
      <c r="J241" s="400"/>
    </row>
    <row r="242" spans="2:10" s="384" customFormat="1" x14ac:dyDescent="0.2">
      <c r="B242" s="398"/>
      <c r="C242" s="399"/>
      <c r="D242" s="398"/>
      <c r="E242" s="398"/>
      <c r="F242" s="398"/>
      <c r="G242" s="398"/>
      <c r="H242" s="398"/>
      <c r="I242" s="398"/>
      <c r="J242" s="400"/>
    </row>
    <row r="243" spans="2:10" s="384" customFormat="1" x14ac:dyDescent="0.2">
      <c r="B243" s="398"/>
      <c r="C243" s="399"/>
      <c r="D243" s="398"/>
      <c r="E243" s="398"/>
      <c r="F243" s="398"/>
      <c r="G243" s="398"/>
      <c r="H243" s="398"/>
      <c r="I243" s="398"/>
      <c r="J243" s="400"/>
    </row>
    <row r="244" spans="2:10" s="384" customFormat="1" x14ac:dyDescent="0.2">
      <c r="B244" s="398"/>
      <c r="C244" s="399"/>
      <c r="D244" s="398"/>
      <c r="E244" s="398"/>
      <c r="F244" s="398"/>
      <c r="G244" s="398"/>
      <c r="H244" s="398"/>
      <c r="I244" s="398"/>
      <c r="J244" s="400"/>
    </row>
    <row r="245" spans="2:10" s="384" customFormat="1" x14ac:dyDescent="0.2">
      <c r="B245" s="398"/>
      <c r="C245" s="399"/>
      <c r="D245" s="398"/>
      <c r="E245" s="398"/>
      <c r="F245" s="398"/>
      <c r="G245" s="398"/>
      <c r="H245" s="398"/>
      <c r="I245" s="398"/>
      <c r="J245" s="400"/>
    </row>
    <row r="246" spans="2:10" s="384" customFormat="1" x14ac:dyDescent="0.2">
      <c r="B246" s="398"/>
      <c r="C246" s="399"/>
      <c r="D246" s="398"/>
      <c r="E246" s="398"/>
      <c r="F246" s="398"/>
      <c r="G246" s="398"/>
      <c r="H246" s="398"/>
      <c r="I246" s="398"/>
      <c r="J246" s="400"/>
    </row>
    <row r="247" spans="2:10" s="384" customFormat="1" x14ac:dyDescent="0.2">
      <c r="B247" s="398"/>
      <c r="C247" s="399"/>
      <c r="D247" s="398"/>
      <c r="E247" s="398"/>
      <c r="F247" s="398"/>
      <c r="G247" s="398"/>
      <c r="H247" s="398"/>
      <c r="I247" s="398"/>
      <c r="J247" s="400"/>
    </row>
    <row r="248" spans="2:10" s="384" customFormat="1" x14ac:dyDescent="0.2">
      <c r="B248" s="398"/>
      <c r="C248" s="399"/>
      <c r="D248" s="398"/>
      <c r="E248" s="398"/>
      <c r="F248" s="398"/>
      <c r="G248" s="398"/>
      <c r="H248" s="398"/>
      <c r="I248" s="398"/>
      <c r="J248" s="400"/>
    </row>
    <row r="249" spans="2:10" s="384" customFormat="1" x14ac:dyDescent="0.2">
      <c r="B249" s="398"/>
      <c r="C249" s="399"/>
      <c r="D249" s="398"/>
      <c r="E249" s="398"/>
      <c r="F249" s="398"/>
      <c r="G249" s="398"/>
      <c r="H249" s="398"/>
      <c r="I249" s="398"/>
      <c r="J249" s="400"/>
    </row>
    <row r="250" spans="2:10" s="384" customFormat="1" x14ac:dyDescent="0.2">
      <c r="B250" s="398"/>
      <c r="C250" s="399"/>
      <c r="D250" s="398"/>
      <c r="E250" s="398"/>
      <c r="F250" s="398"/>
      <c r="G250" s="398"/>
      <c r="H250" s="398"/>
      <c r="I250" s="398"/>
      <c r="J250" s="400"/>
    </row>
    <row r="251" spans="2:10" s="384" customFormat="1" x14ac:dyDescent="0.2">
      <c r="B251" s="398"/>
      <c r="C251" s="399"/>
      <c r="D251" s="398"/>
      <c r="E251" s="398"/>
      <c r="F251" s="398"/>
      <c r="G251" s="398"/>
      <c r="H251" s="398"/>
      <c r="I251" s="398"/>
      <c r="J251" s="400"/>
    </row>
    <row r="252" spans="2:10" s="384" customFormat="1" x14ac:dyDescent="0.2">
      <c r="B252" s="398"/>
      <c r="C252" s="399"/>
      <c r="D252" s="398"/>
      <c r="E252" s="398"/>
      <c r="F252" s="398"/>
      <c r="G252" s="398"/>
      <c r="H252" s="398"/>
      <c r="I252" s="398"/>
      <c r="J252" s="400"/>
    </row>
    <row r="253" spans="2:10" s="384" customFormat="1" x14ac:dyDescent="0.2">
      <c r="B253" s="398"/>
      <c r="C253" s="399"/>
      <c r="D253" s="398"/>
      <c r="E253" s="398"/>
      <c r="F253" s="398"/>
      <c r="G253" s="398"/>
      <c r="H253" s="398"/>
      <c r="I253" s="398"/>
      <c r="J253" s="400"/>
    </row>
    <row r="254" spans="2:10" s="384" customFormat="1" x14ac:dyDescent="0.2">
      <c r="B254" s="398"/>
      <c r="C254" s="399"/>
      <c r="D254" s="398"/>
      <c r="E254" s="398"/>
      <c r="F254" s="398"/>
      <c r="G254" s="398"/>
      <c r="H254" s="398"/>
      <c r="I254" s="398"/>
      <c r="J254" s="400"/>
    </row>
    <row r="255" spans="2:10" s="384" customFormat="1" x14ac:dyDescent="0.2">
      <c r="B255" s="398"/>
      <c r="C255" s="399"/>
      <c r="D255" s="398"/>
      <c r="E255" s="398"/>
      <c r="F255" s="398"/>
      <c r="G255" s="398"/>
      <c r="H255" s="398"/>
      <c r="I255" s="398"/>
      <c r="J255" s="400"/>
    </row>
    <row r="256" spans="2:10" s="384" customFormat="1" x14ac:dyDescent="0.2">
      <c r="B256" s="398"/>
      <c r="C256" s="399"/>
      <c r="D256" s="398"/>
      <c r="E256" s="398"/>
      <c r="F256" s="398"/>
      <c r="G256" s="398"/>
      <c r="H256" s="398"/>
      <c r="I256" s="398"/>
      <c r="J256" s="400"/>
    </row>
    <row r="257" spans="2:10" s="384" customFormat="1" x14ac:dyDescent="0.2">
      <c r="B257" s="398"/>
      <c r="C257" s="399"/>
      <c r="D257" s="398"/>
      <c r="E257" s="398"/>
      <c r="F257" s="398"/>
      <c r="G257" s="398"/>
      <c r="H257" s="398"/>
      <c r="I257" s="398"/>
      <c r="J257" s="400"/>
    </row>
    <row r="258" spans="2:10" s="384" customFormat="1" x14ac:dyDescent="0.2">
      <c r="B258" s="398"/>
      <c r="C258" s="399"/>
      <c r="D258" s="398"/>
      <c r="E258" s="398"/>
      <c r="F258" s="398"/>
      <c r="G258" s="398"/>
      <c r="H258" s="398"/>
      <c r="I258" s="398"/>
      <c r="J258" s="400"/>
    </row>
    <row r="259" spans="2:10" s="384" customFormat="1" x14ac:dyDescent="0.2">
      <c r="B259" s="398"/>
      <c r="C259" s="399"/>
      <c r="D259" s="398"/>
      <c r="E259" s="398"/>
      <c r="F259" s="398"/>
      <c r="G259" s="398"/>
      <c r="H259" s="398"/>
      <c r="I259" s="398"/>
      <c r="J259" s="400"/>
    </row>
    <row r="260" spans="2:10" s="384" customFormat="1" x14ac:dyDescent="0.2">
      <c r="B260" s="398"/>
      <c r="C260" s="399"/>
      <c r="D260" s="398"/>
      <c r="E260" s="398"/>
      <c r="F260" s="398"/>
      <c r="G260" s="398"/>
      <c r="H260" s="398"/>
      <c r="I260" s="398"/>
      <c r="J260" s="400"/>
    </row>
    <row r="261" spans="2:10" s="384" customFormat="1" x14ac:dyDescent="0.2">
      <c r="B261" s="398"/>
      <c r="C261" s="399"/>
      <c r="D261" s="398"/>
      <c r="E261" s="398"/>
      <c r="F261" s="398"/>
      <c r="G261" s="398"/>
      <c r="H261" s="398"/>
      <c r="I261" s="398"/>
      <c r="J261" s="400"/>
    </row>
    <row r="262" spans="2:10" s="384" customFormat="1" x14ac:dyDescent="0.2">
      <c r="B262" s="398"/>
      <c r="C262" s="399"/>
      <c r="D262" s="398"/>
      <c r="E262" s="398"/>
      <c r="F262" s="398"/>
      <c r="G262" s="398"/>
      <c r="H262" s="398"/>
      <c r="I262" s="398"/>
      <c r="J262" s="400"/>
    </row>
    <row r="263" spans="2:10" s="384" customFormat="1" x14ac:dyDescent="0.2">
      <c r="B263" s="398"/>
      <c r="C263" s="399"/>
      <c r="D263" s="398"/>
      <c r="E263" s="398"/>
      <c r="F263" s="398"/>
      <c r="G263" s="398"/>
      <c r="H263" s="398"/>
      <c r="I263" s="398"/>
      <c r="J263" s="400"/>
    </row>
    <row r="264" spans="2:10" s="384" customFormat="1" x14ac:dyDescent="0.2">
      <c r="B264" s="398"/>
      <c r="C264" s="399"/>
      <c r="D264" s="398"/>
      <c r="E264" s="398"/>
      <c r="F264" s="398"/>
      <c r="G264" s="398"/>
      <c r="H264" s="398"/>
      <c r="I264" s="398"/>
      <c r="J264" s="400"/>
    </row>
    <row r="265" spans="2:10" s="384" customFormat="1" x14ac:dyDescent="0.2">
      <c r="B265" s="398"/>
      <c r="C265" s="399"/>
      <c r="D265" s="398"/>
      <c r="E265" s="398"/>
      <c r="F265" s="398"/>
      <c r="G265" s="398"/>
      <c r="H265" s="398"/>
      <c r="I265" s="398"/>
      <c r="J265" s="400"/>
    </row>
    <row r="266" spans="2:10" s="384" customFormat="1" x14ac:dyDescent="0.2">
      <c r="B266" s="398"/>
      <c r="C266" s="399"/>
      <c r="D266" s="398"/>
      <c r="E266" s="398"/>
      <c r="F266" s="398"/>
      <c r="G266" s="398"/>
      <c r="H266" s="398"/>
      <c r="I266" s="398"/>
      <c r="J266" s="400"/>
    </row>
    <row r="267" spans="2:10" s="384" customFormat="1" x14ac:dyDescent="0.2">
      <c r="B267" s="398"/>
      <c r="C267" s="399"/>
      <c r="D267" s="398"/>
      <c r="E267" s="398"/>
      <c r="F267" s="398"/>
      <c r="G267" s="398"/>
      <c r="H267" s="398"/>
      <c r="I267" s="398"/>
      <c r="J267" s="400"/>
    </row>
    <row r="268" spans="2:10" s="384" customFormat="1" x14ac:dyDescent="0.2">
      <c r="B268" s="398"/>
      <c r="C268" s="399"/>
      <c r="D268" s="398"/>
      <c r="E268" s="398"/>
      <c r="F268" s="398"/>
      <c r="G268" s="398"/>
      <c r="H268" s="398"/>
      <c r="I268" s="398"/>
      <c r="J268" s="400"/>
    </row>
    <row r="269" spans="2:10" s="384" customFormat="1" x14ac:dyDescent="0.2">
      <c r="B269" s="398"/>
      <c r="C269" s="399"/>
      <c r="D269" s="398"/>
      <c r="E269" s="398"/>
      <c r="F269" s="398"/>
      <c r="G269" s="398"/>
      <c r="H269" s="398"/>
      <c r="I269" s="398"/>
      <c r="J269" s="400"/>
    </row>
    <row r="270" spans="2:10" s="384" customFormat="1" x14ac:dyDescent="0.2">
      <c r="B270" s="398"/>
      <c r="C270" s="399"/>
      <c r="D270" s="398"/>
      <c r="E270" s="398"/>
      <c r="F270" s="398"/>
      <c r="G270" s="398"/>
      <c r="H270" s="398"/>
      <c r="I270" s="398"/>
      <c r="J270" s="400"/>
    </row>
    <row r="271" spans="2:10" s="384" customFormat="1" x14ac:dyDescent="0.2">
      <c r="B271" s="398"/>
      <c r="C271" s="399"/>
      <c r="D271" s="398"/>
      <c r="E271" s="398"/>
      <c r="F271" s="398"/>
      <c r="G271" s="398"/>
      <c r="H271" s="398"/>
      <c r="I271" s="398"/>
      <c r="J271" s="400"/>
    </row>
    <row r="272" spans="2:10" s="384" customFormat="1" x14ac:dyDescent="0.2">
      <c r="B272" s="398"/>
      <c r="C272" s="399"/>
      <c r="D272" s="398"/>
      <c r="E272" s="398"/>
      <c r="F272" s="398"/>
      <c r="G272" s="398"/>
      <c r="H272" s="398"/>
      <c r="I272" s="398"/>
      <c r="J272" s="400"/>
    </row>
    <row r="273" spans="2:10" s="384" customFormat="1" x14ac:dyDescent="0.2">
      <c r="B273" s="398"/>
      <c r="C273" s="399"/>
      <c r="D273" s="398"/>
      <c r="E273" s="398"/>
      <c r="F273" s="398"/>
      <c r="G273" s="398"/>
      <c r="H273" s="398"/>
      <c r="I273" s="398"/>
      <c r="J273" s="400"/>
    </row>
    <row r="274" spans="2:10" s="384" customFormat="1" x14ac:dyDescent="0.2">
      <c r="B274" s="398"/>
      <c r="C274" s="399"/>
      <c r="D274" s="398"/>
      <c r="E274" s="398"/>
      <c r="F274" s="398"/>
      <c r="G274" s="398"/>
      <c r="H274" s="398"/>
      <c r="I274" s="398"/>
      <c r="J274" s="400"/>
    </row>
    <row r="275" spans="2:10" s="384" customFormat="1" x14ac:dyDescent="0.2">
      <c r="B275" s="398"/>
      <c r="C275" s="399"/>
      <c r="D275" s="398"/>
      <c r="E275" s="398"/>
      <c r="F275" s="398"/>
      <c r="G275" s="398"/>
      <c r="H275" s="398"/>
      <c r="I275" s="398"/>
      <c r="J275" s="400"/>
    </row>
    <row r="276" spans="2:10" s="384" customFormat="1" x14ac:dyDescent="0.2">
      <c r="B276" s="398"/>
      <c r="C276" s="399"/>
      <c r="D276" s="398"/>
      <c r="E276" s="398"/>
      <c r="F276" s="398"/>
      <c r="G276" s="398"/>
      <c r="H276" s="398"/>
      <c r="I276" s="398"/>
      <c r="J276" s="400"/>
    </row>
    <row r="277" spans="2:10" s="384" customFormat="1" x14ac:dyDescent="0.2">
      <c r="B277" s="398"/>
      <c r="C277" s="399"/>
      <c r="D277" s="398"/>
      <c r="E277" s="398"/>
      <c r="F277" s="398"/>
      <c r="G277" s="398"/>
      <c r="H277" s="398"/>
      <c r="I277" s="398"/>
      <c r="J277" s="400"/>
    </row>
    <row r="278" spans="2:10" s="384" customFormat="1" x14ac:dyDescent="0.2">
      <c r="B278" s="398"/>
      <c r="C278" s="399"/>
      <c r="D278" s="398"/>
      <c r="E278" s="398"/>
      <c r="F278" s="398"/>
      <c r="G278" s="398"/>
      <c r="H278" s="398"/>
      <c r="I278" s="398"/>
      <c r="J278" s="400"/>
    </row>
    <row r="279" spans="2:10" s="384" customFormat="1" x14ac:dyDescent="0.2">
      <c r="B279" s="398"/>
      <c r="C279" s="399"/>
      <c r="D279" s="398"/>
      <c r="E279" s="398"/>
      <c r="F279" s="398"/>
      <c r="G279" s="398"/>
      <c r="H279" s="398"/>
      <c r="I279" s="398"/>
      <c r="J279" s="400"/>
    </row>
    <row r="280" spans="2:10" s="384" customFormat="1" x14ac:dyDescent="0.2">
      <c r="B280" s="398"/>
      <c r="C280" s="399"/>
      <c r="D280" s="398"/>
      <c r="E280" s="398"/>
      <c r="F280" s="398"/>
      <c r="G280" s="398"/>
      <c r="H280" s="398"/>
      <c r="I280" s="398"/>
      <c r="J280" s="400"/>
    </row>
    <row r="281" spans="2:10" s="384" customFormat="1" x14ac:dyDescent="0.2">
      <c r="B281" s="398"/>
      <c r="C281" s="399"/>
      <c r="D281" s="398"/>
      <c r="E281" s="398"/>
      <c r="F281" s="398"/>
      <c r="G281" s="398"/>
      <c r="H281" s="398"/>
      <c r="I281" s="398"/>
      <c r="J281" s="400"/>
    </row>
    <row r="282" spans="2:10" s="384" customFormat="1" x14ac:dyDescent="0.2">
      <c r="B282" s="398"/>
      <c r="C282" s="399"/>
      <c r="D282" s="398"/>
      <c r="E282" s="398"/>
      <c r="F282" s="398"/>
      <c r="G282" s="398"/>
      <c r="H282" s="398"/>
      <c r="I282" s="398"/>
      <c r="J282" s="400"/>
    </row>
    <row r="283" spans="2:10" s="384" customFormat="1" x14ac:dyDescent="0.2">
      <c r="B283" s="398"/>
      <c r="C283" s="399"/>
      <c r="D283" s="398"/>
      <c r="E283" s="398"/>
      <c r="F283" s="398"/>
      <c r="G283" s="398"/>
      <c r="H283" s="398"/>
      <c r="I283" s="398"/>
      <c r="J283" s="400"/>
    </row>
    <row r="284" spans="2:10" s="384" customFormat="1" x14ac:dyDescent="0.2">
      <c r="B284" s="398"/>
      <c r="C284" s="399"/>
      <c r="D284" s="398"/>
      <c r="E284" s="398"/>
      <c r="F284" s="398"/>
      <c r="G284" s="398"/>
      <c r="H284" s="398"/>
      <c r="I284" s="398"/>
      <c r="J284" s="400"/>
    </row>
    <row r="285" spans="2:10" s="384" customFormat="1" x14ac:dyDescent="0.2">
      <c r="B285" s="398"/>
      <c r="C285" s="399"/>
      <c r="D285" s="398"/>
      <c r="E285" s="398"/>
      <c r="F285" s="398"/>
      <c r="G285" s="398"/>
      <c r="H285" s="398"/>
      <c r="I285" s="398"/>
      <c r="J285" s="400"/>
    </row>
    <row r="286" spans="2:10" s="384" customFormat="1" x14ac:dyDescent="0.2">
      <c r="B286" s="398"/>
      <c r="C286" s="399"/>
      <c r="D286" s="398"/>
      <c r="E286" s="398"/>
      <c r="F286" s="398"/>
      <c r="G286" s="398"/>
      <c r="H286" s="398"/>
      <c r="I286" s="398"/>
      <c r="J286" s="400"/>
    </row>
    <row r="287" spans="2:10" s="384" customFormat="1" x14ac:dyDescent="0.2">
      <c r="B287" s="398"/>
      <c r="C287" s="399"/>
      <c r="D287" s="398"/>
      <c r="E287" s="398"/>
      <c r="F287" s="398"/>
      <c r="G287" s="398"/>
      <c r="H287" s="398"/>
      <c r="I287" s="398"/>
      <c r="J287" s="400"/>
    </row>
    <row r="288" spans="2:10" s="384" customFormat="1" x14ac:dyDescent="0.2">
      <c r="B288" s="398"/>
      <c r="C288" s="399"/>
      <c r="D288" s="398"/>
      <c r="E288" s="398"/>
      <c r="F288" s="398"/>
      <c r="G288" s="398"/>
      <c r="H288" s="398"/>
      <c r="I288" s="398"/>
      <c r="J288" s="400"/>
    </row>
    <row r="289" spans="2:10" s="384" customFormat="1" x14ac:dyDescent="0.2">
      <c r="B289" s="398"/>
      <c r="C289" s="399"/>
      <c r="D289" s="398"/>
      <c r="E289" s="398"/>
      <c r="F289" s="398"/>
      <c r="G289" s="398"/>
      <c r="H289" s="398"/>
      <c r="I289" s="398"/>
      <c r="J289" s="400"/>
    </row>
    <row r="290" spans="2:10" s="384" customFormat="1" x14ac:dyDescent="0.2">
      <c r="B290" s="398"/>
      <c r="C290" s="399"/>
      <c r="D290" s="398"/>
      <c r="E290" s="398"/>
      <c r="F290" s="398"/>
      <c r="G290" s="398"/>
      <c r="H290" s="398"/>
      <c r="I290" s="398"/>
      <c r="J290" s="400"/>
    </row>
    <row r="291" spans="2:10" s="384" customFormat="1" x14ac:dyDescent="0.2">
      <c r="B291" s="398"/>
      <c r="C291" s="399"/>
      <c r="D291" s="398"/>
      <c r="E291" s="398"/>
      <c r="F291" s="398"/>
      <c r="G291" s="398"/>
      <c r="H291" s="398"/>
      <c r="I291" s="398"/>
      <c r="J291" s="400"/>
    </row>
    <row r="292" spans="2:10" s="384" customFormat="1" x14ac:dyDescent="0.2">
      <c r="B292" s="398"/>
      <c r="C292" s="399"/>
      <c r="D292" s="398"/>
      <c r="E292" s="398"/>
      <c r="F292" s="398"/>
      <c r="G292" s="398"/>
      <c r="H292" s="398"/>
      <c r="I292" s="398"/>
      <c r="J292" s="400"/>
    </row>
    <row r="293" spans="2:10" s="384" customFormat="1" x14ac:dyDescent="0.2">
      <c r="B293" s="398"/>
      <c r="C293" s="399"/>
      <c r="D293" s="398"/>
      <c r="E293" s="398"/>
      <c r="F293" s="398"/>
      <c r="G293" s="398"/>
      <c r="H293" s="398"/>
      <c r="I293" s="398"/>
      <c r="J293" s="400"/>
    </row>
    <row r="294" spans="2:10" s="384" customFormat="1" x14ac:dyDescent="0.2">
      <c r="B294" s="398"/>
      <c r="C294" s="399"/>
      <c r="D294" s="398"/>
      <c r="E294" s="398"/>
      <c r="F294" s="398"/>
      <c r="G294" s="398"/>
      <c r="H294" s="398"/>
      <c r="I294" s="398"/>
      <c r="J294" s="400"/>
    </row>
    <row r="295" spans="2:10" s="384" customFormat="1" x14ac:dyDescent="0.2">
      <c r="B295" s="398"/>
      <c r="C295" s="399"/>
      <c r="D295" s="398"/>
      <c r="E295" s="398"/>
      <c r="F295" s="398"/>
      <c r="G295" s="398"/>
      <c r="H295" s="398"/>
      <c r="I295" s="398"/>
      <c r="J295" s="400"/>
    </row>
    <row r="296" spans="2:10" s="384" customFormat="1" x14ac:dyDescent="0.2">
      <c r="B296" s="398"/>
      <c r="C296" s="399"/>
      <c r="D296" s="398"/>
      <c r="E296" s="398"/>
      <c r="F296" s="398"/>
      <c r="G296" s="398"/>
      <c r="H296" s="398"/>
      <c r="I296" s="398"/>
      <c r="J296" s="400"/>
    </row>
    <row r="297" spans="2:10" s="384" customFormat="1" x14ac:dyDescent="0.2">
      <c r="B297" s="398"/>
      <c r="C297" s="399"/>
      <c r="D297" s="398"/>
      <c r="E297" s="398"/>
      <c r="F297" s="398"/>
      <c r="G297" s="398"/>
      <c r="H297" s="398"/>
      <c r="I297" s="398"/>
      <c r="J297" s="400"/>
    </row>
    <row r="298" spans="2:10" s="384" customFormat="1" x14ac:dyDescent="0.2">
      <c r="B298" s="398"/>
      <c r="C298" s="399"/>
      <c r="D298" s="398"/>
      <c r="E298" s="398"/>
      <c r="F298" s="398"/>
      <c r="G298" s="398"/>
      <c r="H298" s="398"/>
      <c r="I298" s="398"/>
      <c r="J298" s="400"/>
    </row>
    <row r="299" spans="2:10" s="384" customFormat="1" x14ac:dyDescent="0.2">
      <c r="B299" s="398"/>
      <c r="C299" s="399"/>
      <c r="D299" s="398"/>
      <c r="E299" s="398"/>
      <c r="F299" s="398"/>
      <c r="G299" s="398"/>
      <c r="H299" s="398"/>
      <c r="I299" s="398"/>
      <c r="J299" s="400"/>
    </row>
    <row r="300" spans="2:10" s="384" customFormat="1" x14ac:dyDescent="0.2">
      <c r="B300" s="398"/>
      <c r="C300" s="399"/>
      <c r="D300" s="398"/>
      <c r="E300" s="398"/>
      <c r="F300" s="398"/>
      <c r="G300" s="398"/>
      <c r="H300" s="398"/>
      <c r="I300" s="398"/>
      <c r="J300" s="400"/>
    </row>
    <row r="301" spans="2:10" s="384" customFormat="1" x14ac:dyDescent="0.2">
      <c r="B301" s="398"/>
      <c r="C301" s="399"/>
      <c r="D301" s="398"/>
      <c r="E301" s="398"/>
      <c r="F301" s="398"/>
      <c r="G301" s="398"/>
      <c r="H301" s="398"/>
      <c r="I301" s="398"/>
      <c r="J301" s="400"/>
    </row>
    <row r="302" spans="2:10" s="384" customFormat="1" x14ac:dyDescent="0.2">
      <c r="B302" s="398"/>
      <c r="C302" s="399"/>
      <c r="D302" s="398"/>
      <c r="E302" s="398"/>
      <c r="F302" s="398"/>
      <c r="G302" s="398"/>
      <c r="H302" s="398"/>
      <c r="I302" s="398"/>
      <c r="J302" s="400"/>
    </row>
    <row r="303" spans="2:10" s="384" customFormat="1" x14ac:dyDescent="0.2">
      <c r="B303" s="398"/>
      <c r="C303" s="399"/>
      <c r="D303" s="398"/>
      <c r="E303" s="398"/>
      <c r="F303" s="398"/>
      <c r="G303" s="398"/>
      <c r="H303" s="398"/>
      <c r="I303" s="398"/>
      <c r="J303" s="400"/>
    </row>
    <row r="304" spans="2:10" s="384" customFormat="1" x14ac:dyDescent="0.2">
      <c r="B304" s="398"/>
      <c r="C304" s="399"/>
      <c r="D304" s="398"/>
      <c r="E304" s="398"/>
      <c r="F304" s="398"/>
      <c r="G304" s="398"/>
      <c r="H304" s="398"/>
      <c r="I304" s="398"/>
      <c r="J304" s="400"/>
    </row>
    <row r="305" spans="2:10" s="384" customFormat="1" x14ac:dyDescent="0.2">
      <c r="B305" s="398"/>
      <c r="C305" s="399"/>
      <c r="D305" s="398"/>
      <c r="E305" s="398"/>
      <c r="F305" s="398"/>
      <c r="G305" s="398"/>
      <c r="H305" s="398"/>
      <c r="I305" s="398"/>
      <c r="J305" s="400"/>
    </row>
    <row r="306" spans="2:10" s="384" customFormat="1" x14ac:dyDescent="0.2">
      <c r="B306" s="398"/>
      <c r="C306" s="399"/>
      <c r="D306" s="398"/>
      <c r="E306" s="398"/>
      <c r="F306" s="398"/>
      <c r="G306" s="398"/>
      <c r="H306" s="398"/>
      <c r="I306" s="398"/>
      <c r="J306" s="400"/>
    </row>
    <row r="307" spans="2:10" s="384" customFormat="1" x14ac:dyDescent="0.2">
      <c r="B307" s="398"/>
      <c r="C307" s="399"/>
      <c r="D307" s="398"/>
      <c r="E307" s="398"/>
      <c r="F307" s="398"/>
      <c r="G307" s="398"/>
      <c r="H307" s="398"/>
      <c r="I307" s="398"/>
      <c r="J307" s="400"/>
    </row>
    <row r="308" spans="2:10" s="384" customFormat="1" x14ac:dyDescent="0.2">
      <c r="B308" s="398"/>
      <c r="C308" s="399"/>
      <c r="D308" s="398"/>
      <c r="E308" s="398"/>
      <c r="F308" s="398"/>
      <c r="G308" s="398"/>
      <c r="H308" s="398"/>
      <c r="I308" s="398"/>
      <c r="J308" s="400"/>
    </row>
    <row r="309" spans="2:10" s="384" customFormat="1" x14ac:dyDescent="0.2">
      <c r="B309" s="398"/>
      <c r="C309" s="399"/>
      <c r="D309" s="398"/>
      <c r="E309" s="398"/>
      <c r="F309" s="398"/>
      <c r="G309" s="398"/>
      <c r="H309" s="398"/>
      <c r="I309" s="398"/>
      <c r="J309" s="400"/>
    </row>
    <row r="310" spans="2:10" s="384" customFormat="1" x14ac:dyDescent="0.2">
      <c r="B310" s="398"/>
      <c r="C310" s="399"/>
      <c r="D310" s="398"/>
      <c r="E310" s="398"/>
      <c r="F310" s="398"/>
      <c r="G310" s="398"/>
      <c r="H310" s="398"/>
      <c r="I310" s="398"/>
      <c r="J310" s="400"/>
    </row>
    <row r="311" spans="2:10" s="384" customFormat="1" x14ac:dyDescent="0.2">
      <c r="B311" s="398"/>
      <c r="C311" s="399"/>
      <c r="D311" s="398"/>
      <c r="E311" s="398"/>
      <c r="F311" s="398"/>
      <c r="G311" s="398"/>
      <c r="H311" s="398"/>
      <c r="I311" s="398"/>
      <c r="J311" s="400"/>
    </row>
    <row r="312" spans="2:10" s="384" customFormat="1" x14ac:dyDescent="0.2">
      <c r="B312" s="398"/>
      <c r="C312" s="399"/>
      <c r="D312" s="398"/>
      <c r="E312" s="398"/>
      <c r="F312" s="398"/>
      <c r="G312" s="398"/>
      <c r="H312" s="398"/>
      <c r="I312" s="398"/>
      <c r="J312" s="400"/>
    </row>
    <row r="313" spans="2:10" s="384" customFormat="1" x14ac:dyDescent="0.2">
      <c r="B313" s="398"/>
      <c r="C313" s="399"/>
      <c r="D313" s="398"/>
      <c r="E313" s="398"/>
      <c r="F313" s="398"/>
      <c r="G313" s="398"/>
      <c r="H313" s="398"/>
      <c r="I313" s="398"/>
      <c r="J313" s="400"/>
    </row>
    <row r="314" spans="2:10" s="384" customFormat="1" x14ac:dyDescent="0.2">
      <c r="B314" s="398"/>
      <c r="C314" s="399"/>
      <c r="D314" s="398"/>
      <c r="E314" s="398"/>
      <c r="F314" s="398"/>
      <c r="G314" s="398"/>
      <c r="H314" s="398"/>
      <c r="I314" s="398"/>
      <c r="J314" s="400"/>
    </row>
    <row r="315" spans="2:10" s="384" customFormat="1" x14ac:dyDescent="0.2">
      <c r="B315" s="398"/>
      <c r="C315" s="399"/>
      <c r="D315" s="398"/>
      <c r="E315" s="398"/>
      <c r="F315" s="398"/>
      <c r="G315" s="398"/>
      <c r="H315" s="398"/>
      <c r="I315" s="398"/>
      <c r="J315" s="400"/>
    </row>
    <row r="316" spans="2:10" s="384" customFormat="1" x14ac:dyDescent="0.2">
      <c r="B316" s="398"/>
      <c r="C316" s="399"/>
      <c r="D316" s="398"/>
      <c r="E316" s="398"/>
      <c r="F316" s="398"/>
      <c r="G316" s="398"/>
      <c r="H316" s="398"/>
      <c r="I316" s="398"/>
      <c r="J316" s="400"/>
    </row>
    <row r="317" spans="2:10" s="384" customFormat="1" x14ac:dyDescent="0.2">
      <c r="B317" s="398"/>
      <c r="C317" s="399"/>
      <c r="D317" s="398"/>
      <c r="E317" s="398"/>
      <c r="F317" s="398"/>
      <c r="G317" s="398"/>
      <c r="H317" s="398"/>
      <c r="I317" s="398"/>
      <c r="J317" s="400"/>
    </row>
    <row r="318" spans="2:10" s="384" customFormat="1" x14ac:dyDescent="0.2">
      <c r="B318" s="398"/>
      <c r="C318" s="399"/>
      <c r="D318" s="398"/>
      <c r="E318" s="398"/>
      <c r="F318" s="398"/>
      <c r="G318" s="398"/>
      <c r="H318" s="398"/>
      <c r="I318" s="398"/>
      <c r="J318" s="400"/>
    </row>
    <row r="319" spans="2:10" s="384" customFormat="1" x14ac:dyDescent="0.2">
      <c r="B319" s="398"/>
      <c r="C319" s="399"/>
      <c r="D319" s="398"/>
      <c r="E319" s="398"/>
      <c r="F319" s="398"/>
      <c r="G319" s="398"/>
      <c r="H319" s="398"/>
      <c r="I319" s="398"/>
      <c r="J319" s="400"/>
    </row>
    <row r="320" spans="2:10" s="384" customFormat="1" x14ac:dyDescent="0.2">
      <c r="B320" s="398"/>
      <c r="C320" s="399"/>
      <c r="D320" s="398"/>
      <c r="E320" s="398"/>
      <c r="F320" s="398"/>
      <c r="G320" s="398"/>
      <c r="H320" s="398"/>
      <c r="I320" s="398"/>
      <c r="J320" s="400"/>
    </row>
    <row r="321" spans="2:10" s="384" customFormat="1" x14ac:dyDescent="0.2">
      <c r="B321" s="398"/>
      <c r="C321" s="399"/>
      <c r="D321" s="398"/>
      <c r="E321" s="398"/>
      <c r="F321" s="398"/>
      <c r="G321" s="398"/>
      <c r="H321" s="398"/>
      <c r="I321" s="398"/>
      <c r="J321" s="400"/>
    </row>
    <row r="322" spans="2:10" s="384" customFormat="1" x14ac:dyDescent="0.2">
      <c r="B322" s="398"/>
      <c r="C322" s="399"/>
      <c r="D322" s="398"/>
      <c r="E322" s="398"/>
      <c r="F322" s="398"/>
      <c r="G322" s="398"/>
      <c r="H322" s="398"/>
      <c r="I322" s="398"/>
      <c r="J322" s="400"/>
    </row>
    <row r="323" spans="2:10" s="384" customFormat="1" x14ac:dyDescent="0.2">
      <c r="B323" s="398"/>
      <c r="C323" s="399"/>
      <c r="D323" s="398"/>
      <c r="E323" s="398"/>
      <c r="F323" s="398"/>
      <c r="G323" s="398"/>
      <c r="H323" s="398"/>
      <c r="I323" s="398"/>
      <c r="J323" s="400"/>
    </row>
    <row r="324" spans="2:10" s="384" customFormat="1" x14ac:dyDescent="0.2">
      <c r="B324" s="398"/>
      <c r="C324" s="399"/>
      <c r="D324" s="398"/>
      <c r="E324" s="398"/>
      <c r="F324" s="398"/>
      <c r="G324" s="398"/>
      <c r="H324" s="398"/>
      <c r="I324" s="398"/>
      <c r="J324" s="400"/>
    </row>
    <row r="325" spans="2:10" s="384" customFormat="1" x14ac:dyDescent="0.2">
      <c r="B325" s="398"/>
      <c r="C325" s="399"/>
      <c r="D325" s="398"/>
      <c r="E325" s="398"/>
      <c r="F325" s="398"/>
      <c r="G325" s="398"/>
      <c r="H325" s="398"/>
      <c r="I325" s="398"/>
      <c r="J325" s="400"/>
    </row>
    <row r="326" spans="2:10" s="384" customFormat="1" x14ac:dyDescent="0.2">
      <c r="B326" s="398"/>
      <c r="C326" s="399"/>
      <c r="D326" s="398"/>
      <c r="E326" s="398"/>
      <c r="F326" s="398"/>
      <c r="G326" s="398"/>
      <c r="H326" s="398"/>
      <c r="I326" s="398"/>
      <c r="J326" s="400"/>
    </row>
    <row r="327" spans="2:10" s="384" customFormat="1" x14ac:dyDescent="0.2">
      <c r="B327" s="398"/>
      <c r="C327" s="399"/>
      <c r="D327" s="398"/>
      <c r="E327" s="398"/>
      <c r="F327" s="398"/>
      <c r="G327" s="398"/>
      <c r="H327" s="398"/>
      <c r="I327" s="398"/>
      <c r="J327" s="400"/>
    </row>
    <row r="328" spans="2:10" s="384" customFormat="1" x14ac:dyDescent="0.2">
      <c r="B328" s="398"/>
      <c r="C328" s="399"/>
      <c r="D328" s="398"/>
      <c r="E328" s="398"/>
      <c r="F328" s="398"/>
      <c r="G328" s="398"/>
      <c r="H328" s="398"/>
      <c r="I328" s="398"/>
      <c r="J328" s="400"/>
    </row>
    <row r="329" spans="2:10" s="384" customFormat="1" x14ac:dyDescent="0.2">
      <c r="B329" s="398"/>
      <c r="C329" s="399"/>
      <c r="D329" s="398"/>
      <c r="E329" s="398"/>
      <c r="F329" s="398"/>
      <c r="G329" s="398"/>
      <c r="H329" s="398"/>
      <c r="I329" s="398"/>
      <c r="J329" s="400"/>
    </row>
    <row r="330" spans="2:10" s="384" customFormat="1" x14ac:dyDescent="0.2">
      <c r="B330" s="398"/>
      <c r="C330" s="399"/>
      <c r="D330" s="398"/>
      <c r="E330" s="398"/>
      <c r="F330" s="398"/>
      <c r="G330" s="398"/>
      <c r="H330" s="398"/>
      <c r="I330" s="398"/>
      <c r="J330" s="400"/>
    </row>
    <row r="331" spans="2:10" s="384" customFormat="1" x14ac:dyDescent="0.2">
      <c r="B331" s="398"/>
      <c r="C331" s="399"/>
      <c r="D331" s="398"/>
      <c r="E331" s="398"/>
      <c r="F331" s="398"/>
      <c r="G331" s="398"/>
      <c r="H331" s="398"/>
      <c r="I331" s="398"/>
      <c r="J331" s="400"/>
    </row>
    <row r="332" spans="2:10" s="384" customFormat="1" x14ac:dyDescent="0.2">
      <c r="B332" s="398"/>
      <c r="C332" s="399"/>
      <c r="D332" s="398"/>
      <c r="E332" s="398"/>
      <c r="F332" s="398"/>
      <c r="G332" s="398"/>
      <c r="H332" s="398"/>
      <c r="I332" s="398"/>
      <c r="J332" s="400"/>
    </row>
    <row r="333" spans="2:10" s="384" customFormat="1" x14ac:dyDescent="0.2">
      <c r="B333" s="398"/>
      <c r="C333" s="399"/>
      <c r="D333" s="398"/>
      <c r="E333" s="398"/>
      <c r="F333" s="398"/>
      <c r="G333" s="398"/>
      <c r="H333" s="398"/>
      <c r="I333" s="398"/>
      <c r="J333" s="400"/>
    </row>
    <row r="334" spans="2:10" s="384" customFormat="1" x14ac:dyDescent="0.2">
      <c r="B334" s="398"/>
      <c r="C334" s="399"/>
      <c r="D334" s="398"/>
      <c r="E334" s="398"/>
      <c r="F334" s="398"/>
      <c r="G334" s="398"/>
      <c r="H334" s="398"/>
      <c r="I334" s="398"/>
      <c r="J334" s="400"/>
    </row>
    <row r="335" spans="2:10" s="384" customFormat="1" x14ac:dyDescent="0.2">
      <c r="B335" s="398"/>
      <c r="C335" s="399"/>
      <c r="D335" s="398"/>
      <c r="E335" s="398"/>
      <c r="F335" s="398"/>
      <c r="G335" s="398"/>
      <c r="H335" s="398"/>
      <c r="I335" s="398"/>
      <c r="J335" s="400"/>
    </row>
    <row r="336" spans="2:10" s="384" customFormat="1" x14ac:dyDescent="0.2">
      <c r="B336" s="398"/>
      <c r="C336" s="399"/>
      <c r="D336" s="398"/>
      <c r="E336" s="398"/>
      <c r="F336" s="398"/>
      <c r="G336" s="398"/>
      <c r="H336" s="398"/>
      <c r="I336" s="398"/>
      <c r="J336" s="400"/>
    </row>
    <row r="337" spans="2:10" s="384" customFormat="1" x14ac:dyDescent="0.2">
      <c r="B337" s="398"/>
      <c r="C337" s="399"/>
      <c r="D337" s="398"/>
      <c r="E337" s="398"/>
      <c r="F337" s="398"/>
      <c r="G337" s="398"/>
      <c r="H337" s="398"/>
      <c r="I337" s="398"/>
      <c r="J337" s="400"/>
    </row>
    <row r="338" spans="2:10" s="384" customFormat="1" x14ac:dyDescent="0.2">
      <c r="B338" s="398"/>
      <c r="C338" s="399"/>
      <c r="D338" s="398"/>
      <c r="E338" s="398"/>
      <c r="F338" s="398"/>
      <c r="G338" s="398"/>
      <c r="H338" s="398"/>
      <c r="I338" s="398"/>
      <c r="J338" s="400"/>
    </row>
    <row r="339" spans="2:10" s="384" customFormat="1" x14ac:dyDescent="0.2">
      <c r="B339" s="398"/>
      <c r="C339" s="399"/>
      <c r="D339" s="398"/>
      <c r="E339" s="398"/>
      <c r="F339" s="398"/>
      <c r="G339" s="398"/>
      <c r="H339" s="398"/>
      <c r="I339" s="398"/>
      <c r="J339" s="400"/>
    </row>
    <row r="340" spans="2:10" s="384" customFormat="1" x14ac:dyDescent="0.2">
      <c r="B340" s="398"/>
      <c r="C340" s="399"/>
      <c r="D340" s="398"/>
      <c r="E340" s="398"/>
      <c r="F340" s="398"/>
      <c r="G340" s="398"/>
      <c r="H340" s="398"/>
      <c r="I340" s="398"/>
      <c r="J340" s="400"/>
    </row>
    <row r="341" spans="2:10" s="384" customFormat="1" x14ac:dyDescent="0.2">
      <c r="B341" s="398"/>
      <c r="C341" s="399"/>
      <c r="D341" s="398"/>
      <c r="E341" s="398"/>
      <c r="F341" s="398"/>
      <c r="G341" s="398"/>
      <c r="H341" s="398"/>
      <c r="I341" s="398"/>
      <c r="J341" s="400"/>
    </row>
    <row r="342" spans="2:10" s="384" customFormat="1" x14ac:dyDescent="0.2">
      <c r="B342" s="398"/>
      <c r="C342" s="399"/>
      <c r="D342" s="398"/>
      <c r="E342" s="398"/>
      <c r="F342" s="398"/>
      <c r="G342" s="398"/>
      <c r="H342" s="398"/>
      <c r="I342" s="398"/>
      <c r="J342" s="400"/>
    </row>
    <row r="343" spans="2:10" s="384" customFormat="1" x14ac:dyDescent="0.2">
      <c r="B343" s="398"/>
      <c r="C343" s="399"/>
      <c r="D343" s="398"/>
      <c r="E343" s="398"/>
      <c r="F343" s="398"/>
      <c r="G343" s="398"/>
      <c r="H343" s="398"/>
      <c r="I343" s="398"/>
      <c r="J343" s="400"/>
    </row>
    <row r="344" spans="2:10" s="384" customFormat="1" x14ac:dyDescent="0.2">
      <c r="B344" s="398"/>
      <c r="C344" s="399"/>
      <c r="D344" s="398"/>
      <c r="E344" s="398"/>
      <c r="F344" s="398"/>
      <c r="G344" s="398"/>
      <c r="H344" s="398"/>
      <c r="I344" s="398"/>
      <c r="J344" s="400"/>
    </row>
    <row r="345" spans="2:10" s="384" customFormat="1" x14ac:dyDescent="0.2">
      <c r="B345" s="398"/>
      <c r="C345" s="399"/>
      <c r="D345" s="398"/>
      <c r="E345" s="398"/>
      <c r="F345" s="398"/>
      <c r="G345" s="398"/>
      <c r="H345" s="398"/>
      <c r="I345" s="398"/>
      <c r="J345" s="400"/>
    </row>
    <row r="346" spans="2:10" s="384" customFormat="1" x14ac:dyDescent="0.2">
      <c r="B346" s="398"/>
      <c r="C346" s="399"/>
      <c r="D346" s="398"/>
      <c r="E346" s="398"/>
      <c r="F346" s="398"/>
      <c r="G346" s="398"/>
      <c r="H346" s="398"/>
      <c r="I346" s="398"/>
      <c r="J346" s="400"/>
    </row>
    <row r="347" spans="2:10" s="384" customFormat="1" x14ac:dyDescent="0.2">
      <c r="B347" s="398"/>
      <c r="C347" s="399"/>
      <c r="D347" s="398"/>
      <c r="E347" s="398"/>
      <c r="F347" s="398"/>
      <c r="G347" s="398"/>
      <c r="H347" s="398"/>
      <c r="I347" s="398"/>
      <c r="J347" s="400"/>
    </row>
    <row r="348" spans="2:10" s="384" customFormat="1" x14ac:dyDescent="0.2">
      <c r="B348" s="398"/>
      <c r="C348" s="399"/>
      <c r="D348" s="398"/>
      <c r="E348" s="398"/>
      <c r="F348" s="398"/>
      <c r="G348" s="398"/>
      <c r="H348" s="398"/>
      <c r="I348" s="398"/>
      <c r="J348" s="400"/>
    </row>
    <row r="349" spans="2:10" s="384" customFormat="1" x14ac:dyDescent="0.2">
      <c r="B349" s="398"/>
      <c r="C349" s="399"/>
      <c r="D349" s="398"/>
      <c r="E349" s="398"/>
      <c r="F349" s="398"/>
      <c r="G349" s="398"/>
      <c r="H349" s="398"/>
      <c r="I349" s="398"/>
      <c r="J349" s="400"/>
    </row>
    <row r="350" spans="2:10" s="384" customFormat="1" x14ac:dyDescent="0.2">
      <c r="B350" s="398"/>
      <c r="C350" s="399"/>
      <c r="D350" s="398"/>
      <c r="E350" s="398"/>
      <c r="F350" s="398"/>
      <c r="G350" s="398"/>
      <c r="H350" s="398"/>
      <c r="I350" s="398"/>
      <c r="J350" s="400"/>
    </row>
    <row r="351" spans="2:10" s="384" customFormat="1" x14ac:dyDescent="0.2">
      <c r="B351" s="398"/>
      <c r="C351" s="399"/>
      <c r="D351" s="398"/>
      <c r="E351" s="398"/>
      <c r="F351" s="398"/>
      <c r="G351" s="398"/>
      <c r="H351" s="398"/>
      <c r="I351" s="398"/>
      <c r="J351" s="400"/>
    </row>
    <row r="352" spans="2:10" s="384" customFormat="1" x14ac:dyDescent="0.2">
      <c r="B352" s="398"/>
      <c r="C352" s="399"/>
      <c r="D352" s="398"/>
      <c r="E352" s="398"/>
      <c r="F352" s="398"/>
      <c r="G352" s="398"/>
      <c r="H352" s="398"/>
      <c r="I352" s="398"/>
      <c r="J352" s="400"/>
    </row>
    <row r="353" spans="2:10" s="384" customFormat="1" x14ac:dyDescent="0.2">
      <c r="B353" s="398"/>
      <c r="C353" s="399"/>
      <c r="D353" s="398"/>
      <c r="E353" s="398"/>
      <c r="F353" s="398"/>
      <c r="G353" s="398"/>
      <c r="H353" s="398"/>
      <c r="I353" s="398"/>
      <c r="J353" s="400"/>
    </row>
    <row r="354" spans="2:10" s="384" customFormat="1" x14ac:dyDescent="0.2">
      <c r="B354" s="398"/>
      <c r="C354" s="399"/>
      <c r="D354" s="398"/>
      <c r="E354" s="398"/>
      <c r="F354" s="398"/>
      <c r="G354" s="398"/>
      <c r="H354" s="398"/>
      <c r="I354" s="398"/>
      <c r="J354" s="400"/>
    </row>
    <row r="355" spans="2:10" s="384" customFormat="1" x14ac:dyDescent="0.2">
      <c r="B355" s="398"/>
      <c r="C355" s="399"/>
      <c r="D355" s="398"/>
      <c r="E355" s="398"/>
      <c r="F355" s="398"/>
      <c r="G355" s="398"/>
      <c r="H355" s="398"/>
      <c r="I355" s="398"/>
      <c r="J355" s="400"/>
    </row>
    <row r="356" spans="2:10" s="384" customFormat="1" x14ac:dyDescent="0.2">
      <c r="B356" s="398"/>
      <c r="C356" s="399"/>
      <c r="D356" s="398"/>
      <c r="E356" s="398"/>
      <c r="F356" s="398"/>
      <c r="G356" s="398"/>
      <c r="H356" s="398"/>
      <c r="I356" s="398"/>
      <c r="J356" s="400"/>
    </row>
    <row r="357" spans="2:10" s="384" customFormat="1" x14ac:dyDescent="0.2">
      <c r="B357" s="398"/>
      <c r="C357" s="399"/>
      <c r="D357" s="398"/>
      <c r="E357" s="398"/>
      <c r="F357" s="398"/>
      <c r="G357" s="398"/>
      <c r="H357" s="398"/>
      <c r="I357" s="398"/>
      <c r="J357" s="400"/>
    </row>
    <row r="358" spans="2:10" s="384" customFormat="1" x14ac:dyDescent="0.2">
      <c r="B358" s="398"/>
      <c r="C358" s="399"/>
      <c r="D358" s="398"/>
      <c r="E358" s="398"/>
      <c r="F358" s="398"/>
      <c r="G358" s="398"/>
      <c r="H358" s="398"/>
      <c r="I358" s="398"/>
      <c r="J358" s="400"/>
    </row>
    <row r="359" spans="2:10" s="384" customFormat="1" x14ac:dyDescent="0.2">
      <c r="B359" s="398"/>
      <c r="C359" s="399"/>
      <c r="D359" s="398"/>
      <c r="E359" s="398"/>
      <c r="F359" s="398"/>
      <c r="G359" s="398"/>
      <c r="H359" s="398"/>
      <c r="I359" s="398"/>
      <c r="J359" s="400"/>
    </row>
    <row r="360" spans="2:10" s="384" customFormat="1" x14ac:dyDescent="0.2">
      <c r="B360" s="398"/>
      <c r="C360" s="399"/>
      <c r="D360" s="398"/>
      <c r="E360" s="398"/>
      <c r="F360" s="398"/>
      <c r="G360" s="398"/>
      <c r="H360" s="398"/>
      <c r="I360" s="398"/>
      <c r="J360" s="400"/>
    </row>
    <row r="361" spans="2:10" s="384" customFormat="1" x14ac:dyDescent="0.2">
      <c r="B361" s="398"/>
      <c r="C361" s="399"/>
      <c r="D361" s="398"/>
      <c r="E361" s="398"/>
      <c r="F361" s="398"/>
      <c r="G361" s="398"/>
      <c r="H361" s="398"/>
      <c r="I361" s="398"/>
      <c r="J361" s="400"/>
    </row>
    <row r="362" spans="2:10" s="384" customFormat="1" x14ac:dyDescent="0.2">
      <c r="B362" s="398"/>
      <c r="C362" s="399"/>
      <c r="D362" s="398"/>
      <c r="E362" s="398"/>
      <c r="F362" s="398"/>
      <c r="G362" s="398"/>
      <c r="H362" s="398"/>
      <c r="I362" s="398"/>
      <c r="J362" s="400"/>
    </row>
    <row r="363" spans="2:10" s="384" customFormat="1" x14ac:dyDescent="0.2">
      <c r="B363" s="398"/>
      <c r="C363" s="399"/>
      <c r="D363" s="398"/>
      <c r="E363" s="398"/>
      <c r="F363" s="398"/>
      <c r="G363" s="398"/>
      <c r="H363" s="398"/>
      <c r="I363" s="398"/>
      <c r="J363" s="400"/>
    </row>
    <row r="364" spans="2:10" s="384" customFormat="1" x14ac:dyDescent="0.2">
      <c r="B364" s="398"/>
      <c r="C364" s="399"/>
      <c r="D364" s="398"/>
      <c r="E364" s="398"/>
      <c r="F364" s="398"/>
      <c r="G364" s="398"/>
      <c r="H364" s="398"/>
      <c r="I364" s="398"/>
      <c r="J364" s="400"/>
    </row>
    <row r="365" spans="2:10" s="384" customFormat="1" x14ac:dyDescent="0.2">
      <c r="B365" s="398"/>
      <c r="C365" s="399"/>
      <c r="D365" s="398"/>
      <c r="E365" s="398"/>
      <c r="F365" s="398"/>
      <c r="G365" s="398"/>
      <c r="H365" s="398"/>
      <c r="I365" s="398"/>
      <c r="J365" s="400"/>
    </row>
    <row r="366" spans="2:10" s="384" customFormat="1" x14ac:dyDescent="0.2">
      <c r="B366" s="398"/>
      <c r="C366" s="399"/>
      <c r="D366" s="398"/>
      <c r="E366" s="398"/>
      <c r="F366" s="398"/>
      <c r="G366" s="398"/>
      <c r="H366" s="398"/>
      <c r="I366" s="398"/>
      <c r="J366" s="400"/>
    </row>
    <row r="367" spans="2:10" s="384" customFormat="1" x14ac:dyDescent="0.2">
      <c r="B367" s="398"/>
      <c r="C367" s="399"/>
      <c r="D367" s="398"/>
      <c r="E367" s="398"/>
      <c r="F367" s="398"/>
      <c r="G367" s="398"/>
      <c r="H367" s="398"/>
      <c r="I367" s="398"/>
      <c r="J367" s="400"/>
    </row>
    <row r="368" spans="2:10" s="384" customFormat="1" x14ac:dyDescent="0.2">
      <c r="B368" s="398"/>
      <c r="C368" s="399"/>
      <c r="D368" s="398"/>
      <c r="E368" s="398"/>
      <c r="F368" s="398"/>
      <c r="G368" s="398"/>
      <c r="H368" s="398"/>
      <c r="I368" s="398"/>
      <c r="J368" s="400"/>
    </row>
    <row r="369" spans="2:10" s="384" customFormat="1" x14ac:dyDescent="0.2">
      <c r="B369" s="398"/>
      <c r="C369" s="399"/>
      <c r="D369" s="398"/>
      <c r="E369" s="398"/>
      <c r="F369" s="398"/>
      <c r="G369" s="398"/>
      <c r="H369" s="398"/>
      <c r="I369" s="398"/>
      <c r="J369" s="400"/>
    </row>
    <row r="370" spans="2:10" s="384" customFormat="1" x14ac:dyDescent="0.2">
      <c r="B370" s="398"/>
      <c r="C370" s="399"/>
      <c r="D370" s="398"/>
      <c r="E370" s="398"/>
      <c r="F370" s="398"/>
      <c r="G370" s="398"/>
      <c r="H370" s="398"/>
      <c r="I370" s="398"/>
      <c r="J370" s="400"/>
    </row>
    <row r="371" spans="2:10" s="384" customFormat="1" x14ac:dyDescent="0.2">
      <c r="B371" s="398"/>
      <c r="C371" s="399"/>
      <c r="D371" s="398"/>
      <c r="E371" s="398"/>
      <c r="F371" s="398"/>
      <c r="G371" s="398"/>
      <c r="H371" s="398"/>
      <c r="I371" s="398"/>
      <c r="J371" s="400"/>
    </row>
    <row r="372" spans="2:10" s="384" customFormat="1" x14ac:dyDescent="0.2">
      <c r="B372" s="398"/>
      <c r="C372" s="399"/>
      <c r="D372" s="398"/>
      <c r="E372" s="398"/>
      <c r="F372" s="398"/>
      <c r="G372" s="398"/>
      <c r="H372" s="398"/>
      <c r="I372" s="398"/>
      <c r="J372" s="400"/>
    </row>
    <row r="373" spans="2:10" s="384" customFormat="1" x14ac:dyDescent="0.2">
      <c r="B373" s="398"/>
      <c r="C373" s="399"/>
      <c r="D373" s="398"/>
      <c r="E373" s="398"/>
      <c r="F373" s="398"/>
      <c r="G373" s="398"/>
      <c r="H373" s="398"/>
      <c r="I373" s="398"/>
      <c r="J373" s="400"/>
    </row>
    <row r="374" spans="2:10" s="384" customFormat="1" x14ac:dyDescent="0.2">
      <c r="B374" s="398"/>
      <c r="C374" s="399"/>
      <c r="D374" s="398"/>
      <c r="E374" s="398"/>
      <c r="F374" s="398"/>
      <c r="G374" s="398"/>
      <c r="H374" s="398"/>
      <c r="I374" s="398"/>
      <c r="J374" s="400"/>
    </row>
    <row r="375" spans="2:10" s="384" customFormat="1" x14ac:dyDescent="0.2">
      <c r="B375" s="398"/>
      <c r="C375" s="399"/>
      <c r="D375" s="398"/>
      <c r="E375" s="398"/>
      <c r="F375" s="398"/>
      <c r="G375" s="398"/>
      <c r="H375" s="398"/>
      <c r="I375" s="398"/>
      <c r="J375" s="400"/>
    </row>
    <row r="376" spans="2:10" s="384" customFormat="1" x14ac:dyDescent="0.2">
      <c r="B376" s="398"/>
      <c r="C376" s="399"/>
      <c r="D376" s="398"/>
      <c r="E376" s="398"/>
      <c r="F376" s="398"/>
      <c r="G376" s="398"/>
      <c r="H376" s="398"/>
      <c r="I376" s="398"/>
      <c r="J376" s="400"/>
    </row>
    <row r="377" spans="2:10" s="384" customFormat="1" x14ac:dyDescent="0.2">
      <c r="B377" s="398"/>
      <c r="C377" s="399"/>
      <c r="D377" s="398"/>
      <c r="E377" s="398"/>
      <c r="F377" s="398"/>
      <c r="G377" s="398"/>
      <c r="H377" s="398"/>
      <c r="I377" s="398"/>
      <c r="J377" s="400"/>
    </row>
    <row r="378" spans="2:10" s="384" customFormat="1" x14ac:dyDescent="0.2">
      <c r="B378" s="398"/>
      <c r="C378" s="399"/>
      <c r="D378" s="398"/>
      <c r="E378" s="398"/>
      <c r="F378" s="398"/>
      <c r="G378" s="398"/>
      <c r="H378" s="398"/>
      <c r="I378" s="398"/>
      <c r="J378" s="400"/>
    </row>
    <row r="379" spans="2:10" s="384" customFormat="1" x14ac:dyDescent="0.2">
      <c r="B379" s="398"/>
      <c r="C379" s="399"/>
      <c r="D379" s="398"/>
      <c r="E379" s="398"/>
      <c r="F379" s="398"/>
      <c r="G379" s="398"/>
      <c r="H379" s="398"/>
      <c r="I379" s="398"/>
      <c r="J379" s="400"/>
    </row>
    <row r="380" spans="2:10" s="384" customFormat="1" x14ac:dyDescent="0.2">
      <c r="B380" s="398"/>
      <c r="C380" s="399"/>
      <c r="D380" s="398"/>
      <c r="E380" s="398"/>
      <c r="F380" s="398"/>
      <c r="G380" s="398"/>
      <c r="H380" s="398"/>
      <c r="I380" s="398"/>
      <c r="J380" s="400"/>
    </row>
    <row r="381" spans="2:10" s="384" customFormat="1" x14ac:dyDescent="0.2">
      <c r="B381" s="398"/>
      <c r="C381" s="399"/>
      <c r="D381" s="398"/>
      <c r="E381" s="398"/>
      <c r="F381" s="398"/>
      <c r="G381" s="398"/>
      <c r="H381" s="398"/>
      <c r="I381" s="398"/>
      <c r="J381" s="400"/>
    </row>
    <row r="382" spans="2:10" s="384" customFormat="1" x14ac:dyDescent="0.2">
      <c r="B382" s="398"/>
      <c r="C382" s="399"/>
      <c r="D382" s="398"/>
      <c r="E382" s="398"/>
      <c r="F382" s="398"/>
      <c r="G382" s="398"/>
      <c r="H382" s="398"/>
      <c r="I382" s="398"/>
      <c r="J382" s="400"/>
    </row>
    <row r="383" spans="2:10" s="384" customFormat="1" x14ac:dyDescent="0.2">
      <c r="B383" s="398"/>
      <c r="C383" s="399"/>
      <c r="D383" s="398"/>
      <c r="E383" s="398"/>
      <c r="F383" s="398"/>
      <c r="G383" s="398"/>
      <c r="H383" s="398"/>
      <c r="I383" s="398"/>
      <c r="J383" s="400"/>
    </row>
    <row r="384" spans="2:10" s="384" customFormat="1" x14ac:dyDescent="0.2">
      <c r="B384" s="398"/>
      <c r="C384" s="399"/>
      <c r="D384" s="398"/>
      <c r="E384" s="398"/>
      <c r="F384" s="398"/>
      <c r="G384" s="398"/>
      <c r="H384" s="398"/>
      <c r="I384" s="398"/>
      <c r="J384" s="400"/>
    </row>
    <row r="385" spans="2:10" s="384" customFormat="1" x14ac:dyDescent="0.2">
      <c r="B385" s="398"/>
      <c r="C385" s="399"/>
      <c r="D385" s="398"/>
      <c r="E385" s="398"/>
      <c r="F385" s="398"/>
      <c r="G385" s="398"/>
      <c r="H385" s="398"/>
      <c r="I385" s="398"/>
      <c r="J385" s="400"/>
    </row>
    <row r="386" spans="2:10" s="384" customFormat="1" x14ac:dyDescent="0.2">
      <c r="B386" s="398"/>
      <c r="C386" s="399"/>
      <c r="D386" s="398"/>
      <c r="E386" s="398"/>
      <c r="F386" s="398"/>
      <c r="G386" s="398"/>
      <c r="H386" s="398"/>
      <c r="I386" s="398"/>
      <c r="J386" s="400"/>
    </row>
    <row r="387" spans="2:10" s="384" customFormat="1" x14ac:dyDescent="0.2">
      <c r="B387" s="398"/>
      <c r="C387" s="399"/>
      <c r="D387" s="398"/>
      <c r="E387" s="398"/>
      <c r="F387" s="398"/>
      <c r="G387" s="398"/>
      <c r="H387" s="398"/>
      <c r="I387" s="398"/>
      <c r="J387" s="400"/>
    </row>
    <row r="388" spans="2:10" s="384" customFormat="1" x14ac:dyDescent="0.2">
      <c r="B388" s="398"/>
      <c r="C388" s="399"/>
      <c r="D388" s="398"/>
      <c r="E388" s="398"/>
      <c r="F388" s="398"/>
      <c r="G388" s="398"/>
      <c r="H388" s="398"/>
      <c r="I388" s="398"/>
      <c r="J388" s="400"/>
    </row>
    <row r="389" spans="2:10" s="384" customFormat="1" x14ac:dyDescent="0.2">
      <c r="B389" s="398"/>
      <c r="C389" s="399"/>
      <c r="D389" s="398"/>
      <c r="E389" s="398"/>
      <c r="F389" s="398"/>
      <c r="G389" s="398"/>
      <c r="H389" s="398"/>
      <c r="I389" s="398"/>
      <c r="J389" s="400"/>
    </row>
    <row r="390" spans="2:10" s="384" customFormat="1" x14ac:dyDescent="0.2">
      <c r="B390" s="398"/>
      <c r="C390" s="399"/>
      <c r="D390" s="398"/>
      <c r="E390" s="398"/>
      <c r="F390" s="398"/>
      <c r="G390" s="398"/>
      <c r="H390" s="398"/>
      <c r="I390" s="398"/>
      <c r="J390" s="400"/>
    </row>
    <row r="391" spans="2:10" s="384" customFormat="1" x14ac:dyDescent="0.2">
      <c r="B391" s="398"/>
      <c r="C391" s="399"/>
      <c r="D391" s="398"/>
      <c r="E391" s="398"/>
      <c r="F391" s="398"/>
      <c r="G391" s="398"/>
      <c r="H391" s="398"/>
      <c r="I391" s="398"/>
      <c r="J391" s="400"/>
    </row>
    <row r="392" spans="2:10" s="384" customFormat="1" x14ac:dyDescent="0.2">
      <c r="B392" s="398"/>
      <c r="C392" s="399"/>
      <c r="D392" s="398"/>
      <c r="E392" s="398"/>
      <c r="F392" s="398"/>
      <c r="G392" s="398"/>
      <c r="H392" s="398"/>
      <c r="I392" s="398"/>
      <c r="J392" s="400"/>
    </row>
    <row r="393" spans="2:10" s="384" customFormat="1" x14ac:dyDescent="0.2">
      <c r="B393" s="398"/>
      <c r="C393" s="399"/>
      <c r="D393" s="398"/>
      <c r="E393" s="398"/>
      <c r="F393" s="398"/>
      <c r="G393" s="398"/>
      <c r="H393" s="398"/>
      <c r="I393" s="398"/>
      <c r="J393" s="400"/>
    </row>
    <row r="394" spans="2:10" s="384" customFormat="1" x14ac:dyDescent="0.2">
      <c r="B394" s="398"/>
      <c r="C394" s="399"/>
      <c r="D394" s="398"/>
      <c r="E394" s="398"/>
      <c r="F394" s="398"/>
      <c r="G394" s="398"/>
      <c r="H394" s="398"/>
      <c r="I394" s="398"/>
      <c r="J394" s="400"/>
    </row>
    <row r="395" spans="2:10" s="384" customFormat="1" x14ac:dyDescent="0.2">
      <c r="B395" s="398"/>
      <c r="C395" s="399"/>
      <c r="D395" s="398"/>
      <c r="E395" s="398"/>
      <c r="F395" s="398"/>
      <c r="G395" s="398"/>
      <c r="H395" s="398"/>
      <c r="I395" s="398"/>
      <c r="J395" s="400"/>
    </row>
    <row r="396" spans="2:10" s="384" customFormat="1" x14ac:dyDescent="0.2">
      <c r="B396" s="398"/>
      <c r="C396" s="399"/>
      <c r="D396" s="398"/>
      <c r="E396" s="398"/>
      <c r="F396" s="398"/>
      <c r="G396" s="398"/>
      <c r="H396" s="398"/>
      <c r="I396" s="398"/>
      <c r="J396" s="400"/>
    </row>
    <row r="397" spans="2:10" s="384" customFormat="1" x14ac:dyDescent="0.2">
      <c r="B397" s="398"/>
      <c r="C397" s="399"/>
      <c r="D397" s="398"/>
      <c r="E397" s="398"/>
      <c r="F397" s="398"/>
      <c r="G397" s="398"/>
      <c r="H397" s="398"/>
      <c r="I397" s="398"/>
      <c r="J397" s="400"/>
    </row>
    <row r="398" spans="2:10" s="384" customFormat="1" x14ac:dyDescent="0.2">
      <c r="B398" s="398"/>
      <c r="C398" s="399"/>
      <c r="D398" s="398"/>
      <c r="E398" s="398"/>
      <c r="F398" s="398"/>
      <c r="G398" s="398"/>
      <c r="H398" s="398"/>
      <c r="I398" s="398"/>
      <c r="J398" s="400"/>
    </row>
    <row r="399" spans="2:10" s="384" customFormat="1" x14ac:dyDescent="0.2">
      <c r="B399" s="398"/>
      <c r="C399" s="399"/>
      <c r="D399" s="398"/>
      <c r="E399" s="398"/>
      <c r="F399" s="398"/>
      <c r="G399" s="398"/>
      <c r="H399" s="398"/>
      <c r="I399" s="398"/>
      <c r="J399" s="400"/>
    </row>
    <row r="400" spans="2:10" s="384" customFormat="1" x14ac:dyDescent="0.2">
      <c r="B400" s="398"/>
      <c r="C400" s="399"/>
      <c r="D400" s="398"/>
      <c r="E400" s="398"/>
      <c r="F400" s="398"/>
      <c r="G400" s="398"/>
      <c r="H400" s="398"/>
      <c r="I400" s="398"/>
      <c r="J400" s="400"/>
    </row>
    <row r="401" spans="2:10" s="384" customFormat="1" x14ac:dyDescent="0.2">
      <c r="B401" s="398"/>
      <c r="C401" s="399"/>
      <c r="D401" s="398"/>
      <c r="E401" s="398"/>
      <c r="F401" s="398"/>
      <c r="G401" s="398"/>
      <c r="H401" s="398"/>
      <c r="I401" s="398"/>
      <c r="J401" s="400"/>
    </row>
    <row r="402" spans="2:10" s="384" customFormat="1" x14ac:dyDescent="0.2">
      <c r="B402" s="398"/>
      <c r="C402" s="399"/>
      <c r="D402" s="398"/>
      <c r="E402" s="398"/>
      <c r="F402" s="398"/>
      <c r="G402" s="398"/>
      <c r="H402" s="398"/>
      <c r="I402" s="398"/>
      <c r="J402" s="400"/>
    </row>
    <row r="403" spans="2:10" s="384" customFormat="1" x14ac:dyDescent="0.2">
      <c r="B403" s="398"/>
      <c r="C403" s="399"/>
      <c r="D403" s="398"/>
      <c r="E403" s="398"/>
      <c r="F403" s="398"/>
      <c r="G403" s="398"/>
      <c r="H403" s="398"/>
      <c r="I403" s="398"/>
      <c r="J403" s="400"/>
    </row>
    <row r="404" spans="2:10" s="384" customFormat="1" x14ac:dyDescent="0.2">
      <c r="B404" s="398"/>
      <c r="C404" s="399"/>
      <c r="D404" s="398"/>
      <c r="E404" s="398"/>
      <c r="F404" s="398"/>
      <c r="G404" s="398"/>
      <c r="H404" s="398"/>
      <c r="I404" s="398"/>
      <c r="J404" s="400"/>
    </row>
    <row r="405" spans="2:10" s="384" customFormat="1" x14ac:dyDescent="0.2">
      <c r="B405" s="398"/>
      <c r="C405" s="399"/>
      <c r="D405" s="398"/>
      <c r="E405" s="398"/>
      <c r="F405" s="398"/>
      <c r="G405" s="398"/>
      <c r="H405" s="398"/>
      <c r="I405" s="398"/>
      <c r="J405" s="400"/>
    </row>
    <row r="406" spans="2:10" s="384" customFormat="1" x14ac:dyDescent="0.2">
      <c r="B406" s="398"/>
      <c r="C406" s="399"/>
      <c r="D406" s="398"/>
      <c r="E406" s="398"/>
      <c r="F406" s="398"/>
      <c r="G406" s="398"/>
      <c r="H406" s="398"/>
      <c r="I406" s="398"/>
      <c r="J406" s="400"/>
    </row>
    <row r="407" spans="2:10" s="384" customFormat="1" x14ac:dyDescent="0.2">
      <c r="B407" s="398"/>
      <c r="C407" s="399"/>
      <c r="D407" s="398"/>
      <c r="E407" s="398"/>
      <c r="F407" s="398"/>
      <c r="G407" s="398"/>
      <c r="H407" s="398"/>
      <c r="I407" s="398"/>
      <c r="J407" s="400"/>
    </row>
    <row r="408" spans="2:10" s="384" customFormat="1" x14ac:dyDescent="0.2">
      <c r="B408" s="398"/>
      <c r="C408" s="399"/>
      <c r="D408" s="398"/>
      <c r="E408" s="398"/>
      <c r="F408" s="398"/>
      <c r="G408" s="398"/>
      <c r="H408" s="398"/>
      <c r="I408" s="398"/>
      <c r="J408" s="400"/>
    </row>
    <row r="409" spans="2:10" s="384" customFormat="1" x14ac:dyDescent="0.2">
      <c r="B409" s="398"/>
      <c r="C409" s="399"/>
      <c r="D409" s="398"/>
      <c r="E409" s="398"/>
      <c r="F409" s="398"/>
      <c r="G409" s="398"/>
      <c r="H409" s="398"/>
      <c r="I409" s="398"/>
      <c r="J409" s="400"/>
    </row>
    <row r="410" spans="2:10" s="384" customFormat="1" x14ac:dyDescent="0.2">
      <c r="B410" s="398"/>
      <c r="C410" s="399"/>
      <c r="D410" s="398"/>
      <c r="E410" s="398"/>
      <c r="F410" s="398"/>
      <c r="G410" s="398"/>
      <c r="H410" s="398"/>
      <c r="I410" s="398"/>
      <c r="J410" s="400"/>
    </row>
    <row r="411" spans="2:10" s="384" customFormat="1" x14ac:dyDescent="0.2">
      <c r="B411" s="398"/>
      <c r="C411" s="399"/>
      <c r="D411" s="398"/>
      <c r="E411" s="398"/>
      <c r="F411" s="398"/>
      <c r="G411" s="398"/>
      <c r="H411" s="398"/>
      <c r="I411" s="398"/>
      <c r="J411" s="400"/>
    </row>
    <row r="412" spans="2:10" s="384" customFormat="1" x14ac:dyDescent="0.2">
      <c r="B412" s="398"/>
      <c r="C412" s="399"/>
      <c r="D412" s="398"/>
      <c r="E412" s="398"/>
      <c r="F412" s="398"/>
      <c r="G412" s="398"/>
      <c r="H412" s="398"/>
      <c r="I412" s="398"/>
      <c r="J412" s="400"/>
    </row>
    <row r="413" spans="2:10" s="384" customFormat="1" x14ac:dyDescent="0.2">
      <c r="B413" s="398"/>
      <c r="C413" s="399"/>
      <c r="D413" s="398"/>
      <c r="E413" s="398"/>
      <c r="F413" s="398"/>
      <c r="G413" s="398"/>
      <c r="H413" s="398"/>
      <c r="I413" s="398"/>
      <c r="J413" s="400"/>
    </row>
    <row r="414" spans="2:10" s="384" customFormat="1" x14ac:dyDescent="0.2">
      <c r="B414" s="398"/>
      <c r="C414" s="399"/>
      <c r="D414" s="398"/>
      <c r="E414" s="398"/>
      <c r="F414" s="398"/>
      <c r="G414" s="398"/>
      <c r="H414" s="398"/>
      <c r="I414" s="398"/>
      <c r="J414" s="400"/>
    </row>
    <row r="415" spans="2:10" s="384" customFormat="1" x14ac:dyDescent="0.2">
      <c r="B415" s="398"/>
      <c r="C415" s="399"/>
      <c r="D415" s="398"/>
      <c r="E415" s="398"/>
      <c r="F415" s="398"/>
      <c r="G415" s="398"/>
      <c r="H415" s="398"/>
      <c r="I415" s="398"/>
      <c r="J415" s="400"/>
    </row>
    <row r="416" spans="2:10" s="384" customFormat="1" x14ac:dyDescent="0.2">
      <c r="B416" s="398"/>
      <c r="C416" s="399"/>
      <c r="D416" s="398"/>
      <c r="E416" s="398"/>
      <c r="F416" s="398"/>
      <c r="G416" s="398"/>
      <c r="H416" s="398"/>
      <c r="I416" s="398"/>
      <c r="J416" s="400"/>
    </row>
    <row r="417" spans="2:10" s="384" customFormat="1" x14ac:dyDescent="0.2">
      <c r="B417" s="398"/>
      <c r="C417" s="399"/>
      <c r="D417" s="398"/>
      <c r="E417" s="398"/>
      <c r="F417" s="398"/>
      <c r="G417" s="398"/>
      <c r="H417" s="398"/>
      <c r="I417" s="398"/>
      <c r="J417" s="400"/>
    </row>
    <row r="418" spans="2:10" s="384" customFormat="1" x14ac:dyDescent="0.2">
      <c r="B418" s="398"/>
      <c r="C418" s="399"/>
      <c r="D418" s="398"/>
      <c r="E418" s="398"/>
      <c r="F418" s="398"/>
      <c r="G418" s="398"/>
      <c r="H418" s="398"/>
      <c r="I418" s="398"/>
      <c r="J418" s="400"/>
    </row>
    <row r="419" spans="2:10" s="384" customFormat="1" x14ac:dyDescent="0.2">
      <c r="B419" s="398"/>
      <c r="C419" s="399"/>
      <c r="D419" s="398"/>
      <c r="E419" s="398"/>
      <c r="F419" s="398"/>
      <c r="G419" s="398"/>
      <c r="H419" s="398"/>
      <c r="I419" s="398"/>
      <c r="J419" s="400"/>
    </row>
    <row r="420" spans="2:10" s="384" customFormat="1" x14ac:dyDescent="0.2">
      <c r="B420" s="398"/>
      <c r="C420" s="399"/>
      <c r="D420" s="398"/>
      <c r="E420" s="398"/>
      <c r="F420" s="398"/>
      <c r="G420" s="398"/>
      <c r="H420" s="398"/>
      <c r="I420" s="398"/>
      <c r="J420" s="400"/>
    </row>
    <row r="421" spans="2:10" s="384" customFormat="1" x14ac:dyDescent="0.2">
      <c r="B421" s="398"/>
      <c r="C421" s="399"/>
      <c r="D421" s="398"/>
      <c r="E421" s="398"/>
      <c r="F421" s="398"/>
      <c r="G421" s="398"/>
      <c r="H421" s="398"/>
      <c r="I421" s="398"/>
      <c r="J421" s="400"/>
    </row>
    <row r="422" spans="2:10" s="384" customFormat="1" x14ac:dyDescent="0.2">
      <c r="B422" s="398"/>
      <c r="C422" s="399"/>
      <c r="D422" s="398"/>
      <c r="E422" s="398"/>
      <c r="F422" s="398"/>
      <c r="G422" s="398"/>
      <c r="H422" s="398"/>
      <c r="I422" s="398"/>
      <c r="J422" s="400"/>
    </row>
    <row r="423" spans="2:10" s="384" customFormat="1" x14ac:dyDescent="0.2">
      <c r="B423" s="398"/>
      <c r="C423" s="399"/>
      <c r="D423" s="398"/>
      <c r="E423" s="398"/>
      <c r="F423" s="398"/>
      <c r="G423" s="398"/>
      <c r="H423" s="398"/>
      <c r="I423" s="398"/>
      <c r="J423" s="400"/>
    </row>
    <row r="424" spans="2:10" s="384" customFormat="1" x14ac:dyDescent="0.2">
      <c r="B424" s="398"/>
      <c r="C424" s="399"/>
      <c r="D424" s="398"/>
      <c r="E424" s="398"/>
      <c r="F424" s="398"/>
      <c r="G424" s="398"/>
      <c r="H424" s="398"/>
      <c r="I424" s="398"/>
      <c r="J424" s="400"/>
    </row>
    <row r="425" spans="2:10" s="384" customFormat="1" x14ac:dyDescent="0.2">
      <c r="B425" s="398"/>
      <c r="C425" s="399"/>
      <c r="D425" s="398"/>
      <c r="E425" s="398"/>
      <c r="F425" s="398"/>
      <c r="G425" s="398"/>
      <c r="H425" s="398"/>
      <c r="I425" s="398"/>
      <c r="J425" s="400"/>
    </row>
    <row r="426" spans="2:10" s="384" customFormat="1" x14ac:dyDescent="0.2">
      <c r="B426" s="398"/>
      <c r="C426" s="399"/>
      <c r="D426" s="398"/>
      <c r="E426" s="398"/>
      <c r="F426" s="398"/>
      <c r="G426" s="398"/>
      <c r="H426" s="398"/>
      <c r="I426" s="398"/>
      <c r="J426" s="400"/>
    </row>
    <row r="427" spans="2:10" s="384" customFormat="1" x14ac:dyDescent="0.2">
      <c r="B427" s="398"/>
      <c r="C427" s="399"/>
      <c r="D427" s="398"/>
      <c r="E427" s="398"/>
      <c r="F427" s="398"/>
      <c r="G427" s="398"/>
      <c r="H427" s="398"/>
      <c r="I427" s="398"/>
      <c r="J427" s="400"/>
    </row>
    <row r="428" spans="2:10" s="384" customFormat="1" x14ac:dyDescent="0.2">
      <c r="B428" s="398"/>
      <c r="C428" s="399"/>
      <c r="D428" s="398"/>
      <c r="E428" s="398"/>
      <c r="F428" s="398"/>
      <c r="G428" s="398"/>
      <c r="H428" s="398"/>
      <c r="I428" s="398"/>
      <c r="J428" s="400"/>
    </row>
    <row r="429" spans="2:10" s="384" customFormat="1" x14ac:dyDescent="0.2">
      <c r="B429" s="398"/>
      <c r="C429" s="399"/>
      <c r="D429" s="398"/>
      <c r="E429" s="398"/>
      <c r="F429" s="398"/>
      <c r="G429" s="398"/>
      <c r="H429" s="398"/>
      <c r="I429" s="398"/>
      <c r="J429" s="400"/>
    </row>
    <row r="430" spans="2:10" s="384" customFormat="1" x14ac:dyDescent="0.2">
      <c r="B430" s="398"/>
      <c r="C430" s="399"/>
      <c r="D430" s="398"/>
      <c r="E430" s="398"/>
      <c r="F430" s="398"/>
      <c r="G430" s="398"/>
      <c r="H430" s="398"/>
      <c r="I430" s="398"/>
      <c r="J430" s="400"/>
    </row>
    <row r="431" spans="2:10" s="384" customFormat="1" x14ac:dyDescent="0.2">
      <c r="B431" s="398"/>
      <c r="C431" s="399"/>
      <c r="D431" s="398"/>
      <c r="E431" s="398"/>
      <c r="F431" s="398"/>
      <c r="G431" s="398"/>
      <c r="H431" s="398"/>
      <c r="I431" s="398"/>
      <c r="J431" s="400"/>
    </row>
    <row r="432" spans="2:10" s="384" customFormat="1" x14ac:dyDescent="0.2">
      <c r="B432" s="398"/>
      <c r="C432" s="399"/>
      <c r="D432" s="398"/>
      <c r="E432" s="398"/>
      <c r="F432" s="398"/>
      <c r="G432" s="398"/>
      <c r="H432" s="398"/>
      <c r="I432" s="398"/>
      <c r="J432" s="400"/>
    </row>
    <row r="433" spans="2:10" s="384" customFormat="1" x14ac:dyDescent="0.2">
      <c r="B433" s="398"/>
      <c r="C433" s="399"/>
      <c r="D433" s="398"/>
      <c r="E433" s="398"/>
      <c r="F433" s="398"/>
      <c r="G433" s="398"/>
      <c r="H433" s="398"/>
      <c r="I433" s="398"/>
      <c r="J433" s="400"/>
    </row>
    <row r="434" spans="2:10" s="384" customFormat="1" x14ac:dyDescent="0.2">
      <c r="B434" s="398"/>
      <c r="C434" s="399"/>
      <c r="D434" s="398"/>
      <c r="E434" s="398"/>
      <c r="F434" s="398"/>
      <c r="G434" s="398"/>
      <c r="H434" s="398"/>
      <c r="I434" s="398"/>
      <c r="J434" s="400"/>
    </row>
    <row r="435" spans="2:10" s="384" customFormat="1" x14ac:dyDescent="0.2">
      <c r="B435" s="398"/>
      <c r="C435" s="399"/>
      <c r="D435" s="398"/>
      <c r="E435" s="398"/>
      <c r="F435" s="398"/>
      <c r="G435" s="398"/>
      <c r="H435" s="398"/>
      <c r="I435" s="398"/>
      <c r="J435" s="400"/>
    </row>
    <row r="436" spans="2:10" s="384" customFormat="1" x14ac:dyDescent="0.2">
      <c r="B436" s="398"/>
      <c r="C436" s="399"/>
      <c r="D436" s="398"/>
      <c r="E436" s="398"/>
      <c r="F436" s="398"/>
      <c r="G436" s="398"/>
      <c r="H436" s="398"/>
      <c r="I436" s="398"/>
      <c r="J436" s="400"/>
    </row>
    <row r="437" spans="2:10" s="384" customFormat="1" x14ac:dyDescent="0.2">
      <c r="B437" s="398"/>
      <c r="C437" s="399"/>
      <c r="D437" s="398"/>
      <c r="E437" s="398"/>
      <c r="F437" s="398"/>
      <c r="G437" s="398"/>
      <c r="H437" s="398"/>
      <c r="I437" s="398"/>
      <c r="J437" s="400"/>
    </row>
    <row r="438" spans="2:10" s="384" customFormat="1" x14ac:dyDescent="0.2">
      <c r="B438" s="398"/>
      <c r="C438" s="399"/>
      <c r="D438" s="398"/>
      <c r="E438" s="398"/>
      <c r="F438" s="398"/>
      <c r="G438" s="398"/>
      <c r="H438" s="398"/>
      <c r="I438" s="398"/>
      <c r="J438" s="400"/>
    </row>
    <row r="439" spans="2:10" s="384" customFormat="1" x14ac:dyDescent="0.2">
      <c r="B439" s="398"/>
      <c r="C439" s="399"/>
      <c r="D439" s="398"/>
      <c r="E439" s="398"/>
      <c r="F439" s="398"/>
      <c r="G439" s="398"/>
      <c r="H439" s="398"/>
      <c r="I439" s="398"/>
      <c r="J439" s="400"/>
    </row>
    <row r="440" spans="2:10" s="384" customFormat="1" x14ac:dyDescent="0.2">
      <c r="B440" s="398"/>
      <c r="C440" s="399"/>
      <c r="D440" s="398"/>
      <c r="E440" s="398"/>
      <c r="F440" s="398"/>
      <c r="G440" s="398"/>
      <c r="H440" s="398"/>
      <c r="I440" s="398"/>
      <c r="J440" s="400"/>
    </row>
    <row r="441" spans="2:10" s="384" customFormat="1" x14ac:dyDescent="0.2">
      <c r="B441" s="398"/>
      <c r="C441" s="399"/>
      <c r="D441" s="398"/>
      <c r="E441" s="398"/>
      <c r="F441" s="398"/>
      <c r="G441" s="398"/>
      <c r="H441" s="398"/>
      <c r="I441" s="398"/>
      <c r="J441" s="400"/>
    </row>
    <row r="442" spans="2:10" s="384" customFormat="1" x14ac:dyDescent="0.2">
      <c r="B442" s="398"/>
      <c r="C442" s="399"/>
      <c r="D442" s="398"/>
      <c r="E442" s="398"/>
      <c r="F442" s="398"/>
      <c r="G442" s="398"/>
      <c r="H442" s="398"/>
      <c r="I442" s="398"/>
      <c r="J442" s="400"/>
    </row>
    <row r="443" spans="2:10" s="384" customFormat="1" x14ac:dyDescent="0.2">
      <c r="B443" s="398"/>
      <c r="C443" s="399"/>
      <c r="D443" s="398"/>
      <c r="E443" s="398"/>
      <c r="F443" s="398"/>
      <c r="G443" s="398"/>
      <c r="H443" s="398"/>
      <c r="I443" s="398"/>
      <c r="J443" s="400"/>
    </row>
    <row r="444" spans="2:10" s="384" customFormat="1" x14ac:dyDescent="0.2">
      <c r="B444" s="398"/>
      <c r="C444" s="399"/>
      <c r="D444" s="398"/>
      <c r="E444" s="398"/>
      <c r="F444" s="398"/>
      <c r="G444" s="398"/>
      <c r="H444" s="398"/>
      <c r="I444" s="398"/>
      <c r="J444" s="400"/>
    </row>
    <row r="445" spans="2:10" s="384" customFormat="1" x14ac:dyDescent="0.2">
      <c r="B445" s="398"/>
      <c r="C445" s="399"/>
      <c r="D445" s="398"/>
      <c r="E445" s="398"/>
      <c r="F445" s="398"/>
      <c r="G445" s="398"/>
      <c r="H445" s="398"/>
      <c r="I445" s="398"/>
      <c r="J445" s="400"/>
    </row>
    <row r="446" spans="2:10" s="384" customFormat="1" x14ac:dyDescent="0.2">
      <c r="B446" s="398"/>
      <c r="C446" s="399"/>
      <c r="D446" s="398"/>
      <c r="E446" s="398"/>
      <c r="F446" s="398"/>
      <c r="G446" s="398"/>
      <c r="H446" s="398"/>
      <c r="I446" s="398"/>
      <c r="J446" s="400"/>
    </row>
    <row r="447" spans="2:10" s="384" customFormat="1" x14ac:dyDescent="0.2">
      <c r="B447" s="398"/>
      <c r="C447" s="399"/>
      <c r="D447" s="398"/>
      <c r="E447" s="398"/>
      <c r="F447" s="398"/>
      <c r="G447" s="398"/>
      <c r="H447" s="398"/>
      <c r="I447" s="398"/>
      <c r="J447" s="400"/>
    </row>
    <row r="448" spans="2:10" s="384" customFormat="1" x14ac:dyDescent="0.2">
      <c r="B448" s="398"/>
      <c r="C448" s="399"/>
      <c r="D448" s="398"/>
      <c r="E448" s="398"/>
      <c r="F448" s="398"/>
      <c r="G448" s="398"/>
      <c r="H448" s="398"/>
      <c r="I448" s="398"/>
      <c r="J448" s="400"/>
    </row>
    <row r="449" spans="2:10" s="384" customFormat="1" x14ac:dyDescent="0.2">
      <c r="B449" s="398"/>
      <c r="C449" s="399"/>
      <c r="D449" s="398"/>
      <c r="E449" s="398"/>
      <c r="F449" s="398"/>
      <c r="G449" s="398"/>
      <c r="H449" s="398"/>
      <c r="I449" s="398"/>
      <c r="J449" s="400"/>
    </row>
    <row r="450" spans="2:10" s="384" customFormat="1" x14ac:dyDescent="0.2">
      <c r="B450" s="398"/>
      <c r="C450" s="399"/>
      <c r="D450" s="398"/>
      <c r="E450" s="398"/>
      <c r="F450" s="398"/>
      <c r="G450" s="398"/>
      <c r="H450" s="398"/>
      <c r="I450" s="398"/>
      <c r="J450" s="400"/>
    </row>
    <row r="451" spans="2:10" s="384" customFormat="1" x14ac:dyDescent="0.2">
      <c r="B451" s="398"/>
      <c r="C451" s="399"/>
      <c r="D451" s="398"/>
      <c r="E451" s="398"/>
      <c r="F451" s="398"/>
      <c r="G451" s="398"/>
      <c r="H451" s="398"/>
      <c r="I451" s="398"/>
      <c r="J451" s="400"/>
    </row>
    <row r="452" spans="2:10" s="384" customFormat="1" x14ac:dyDescent="0.2">
      <c r="B452" s="398"/>
      <c r="C452" s="399"/>
      <c r="D452" s="398"/>
      <c r="E452" s="398"/>
      <c r="F452" s="398"/>
      <c r="G452" s="398"/>
      <c r="H452" s="398"/>
      <c r="I452" s="398"/>
      <c r="J452" s="400"/>
    </row>
    <row r="453" spans="2:10" s="384" customFormat="1" x14ac:dyDescent="0.2">
      <c r="B453" s="398"/>
      <c r="C453" s="399"/>
      <c r="D453" s="398"/>
      <c r="E453" s="398"/>
      <c r="F453" s="398"/>
      <c r="G453" s="398"/>
      <c r="H453" s="398"/>
      <c r="I453" s="398"/>
      <c r="J453" s="400"/>
    </row>
    <row r="454" spans="2:10" s="384" customFormat="1" x14ac:dyDescent="0.2">
      <c r="B454" s="398"/>
      <c r="C454" s="399"/>
      <c r="D454" s="398"/>
      <c r="E454" s="398"/>
      <c r="F454" s="398"/>
      <c r="G454" s="398"/>
      <c r="H454" s="398"/>
      <c r="I454" s="398"/>
      <c r="J454" s="400"/>
    </row>
    <row r="455" spans="2:10" s="384" customFormat="1" x14ac:dyDescent="0.2">
      <c r="B455" s="398"/>
      <c r="C455" s="399"/>
      <c r="D455" s="398"/>
      <c r="E455" s="398"/>
      <c r="F455" s="398"/>
      <c r="G455" s="398"/>
      <c r="H455" s="398"/>
      <c r="I455" s="398"/>
      <c r="J455" s="400"/>
    </row>
    <row r="456" spans="2:10" s="384" customFormat="1" x14ac:dyDescent="0.2">
      <c r="B456" s="398"/>
      <c r="C456" s="399"/>
      <c r="D456" s="398"/>
      <c r="E456" s="398"/>
      <c r="F456" s="398"/>
      <c r="G456" s="398"/>
      <c r="H456" s="398"/>
      <c r="I456" s="398"/>
      <c r="J456" s="400"/>
    </row>
    <row r="457" spans="2:10" s="384" customFormat="1" x14ac:dyDescent="0.2">
      <c r="B457" s="398"/>
      <c r="C457" s="399"/>
      <c r="D457" s="398"/>
      <c r="E457" s="398"/>
      <c r="F457" s="398"/>
      <c r="G457" s="398"/>
      <c r="H457" s="398"/>
      <c r="I457" s="398"/>
      <c r="J457" s="400"/>
    </row>
    <row r="458" spans="2:10" s="384" customFormat="1" x14ac:dyDescent="0.2">
      <c r="B458" s="398"/>
      <c r="C458" s="399"/>
      <c r="D458" s="398"/>
      <c r="E458" s="398"/>
      <c r="F458" s="398"/>
      <c r="G458" s="398"/>
      <c r="H458" s="398"/>
      <c r="I458" s="398"/>
      <c r="J458" s="400"/>
    </row>
    <row r="459" spans="2:10" s="384" customFormat="1" x14ac:dyDescent="0.2">
      <c r="B459" s="398"/>
      <c r="C459" s="399"/>
      <c r="D459" s="398"/>
      <c r="E459" s="398"/>
      <c r="F459" s="398"/>
      <c r="G459" s="398"/>
      <c r="H459" s="398"/>
      <c r="I459" s="398"/>
      <c r="J459" s="400"/>
    </row>
    <row r="460" spans="2:10" s="384" customFormat="1" x14ac:dyDescent="0.2">
      <c r="B460" s="398"/>
      <c r="C460" s="399"/>
      <c r="D460" s="398"/>
      <c r="E460" s="398"/>
      <c r="F460" s="398"/>
      <c r="G460" s="398"/>
      <c r="H460" s="398"/>
      <c r="I460" s="398"/>
      <c r="J460" s="400"/>
    </row>
    <row r="461" spans="2:10" s="384" customFormat="1" x14ac:dyDescent="0.2">
      <c r="B461" s="398"/>
      <c r="C461" s="399"/>
      <c r="D461" s="398"/>
      <c r="E461" s="398"/>
      <c r="F461" s="398"/>
      <c r="G461" s="398"/>
      <c r="H461" s="398"/>
      <c r="I461" s="398"/>
      <c r="J461" s="400"/>
    </row>
    <row r="462" spans="2:10" s="384" customFormat="1" x14ac:dyDescent="0.2">
      <c r="B462" s="398"/>
      <c r="C462" s="399"/>
      <c r="D462" s="398"/>
      <c r="E462" s="398"/>
      <c r="F462" s="398"/>
      <c r="G462" s="398"/>
      <c r="H462" s="398"/>
      <c r="I462" s="398"/>
      <c r="J462" s="400"/>
    </row>
    <row r="463" spans="2:10" s="384" customFormat="1" x14ac:dyDescent="0.2">
      <c r="B463" s="398"/>
      <c r="C463" s="399"/>
      <c r="D463" s="398"/>
      <c r="E463" s="398"/>
      <c r="F463" s="398"/>
      <c r="G463" s="398"/>
      <c r="H463" s="398"/>
      <c r="I463" s="398"/>
      <c r="J463" s="400"/>
    </row>
    <row r="464" spans="2:10" s="384" customFormat="1" x14ac:dyDescent="0.2">
      <c r="B464" s="398"/>
      <c r="C464" s="399"/>
      <c r="D464" s="398"/>
      <c r="E464" s="398"/>
      <c r="F464" s="398"/>
      <c r="G464" s="398"/>
      <c r="H464" s="398"/>
      <c r="I464" s="398"/>
      <c r="J464" s="400"/>
    </row>
    <row r="465" spans="2:10" s="384" customFormat="1" x14ac:dyDescent="0.2">
      <c r="B465" s="398"/>
      <c r="C465" s="399"/>
      <c r="D465" s="398"/>
      <c r="E465" s="398"/>
      <c r="F465" s="398"/>
      <c r="G465" s="398"/>
      <c r="H465" s="398"/>
      <c r="I465" s="398"/>
      <c r="J465" s="400"/>
    </row>
    <row r="466" spans="2:10" s="384" customFormat="1" x14ac:dyDescent="0.2">
      <c r="B466" s="398"/>
      <c r="C466" s="399"/>
      <c r="D466" s="398"/>
      <c r="E466" s="398"/>
      <c r="F466" s="398"/>
      <c r="G466" s="398"/>
      <c r="H466" s="398"/>
      <c r="I466" s="398"/>
      <c r="J466" s="400"/>
    </row>
    <row r="467" spans="2:10" s="384" customFormat="1" x14ac:dyDescent="0.2">
      <c r="B467" s="398"/>
      <c r="C467" s="399"/>
      <c r="D467" s="398"/>
      <c r="E467" s="398"/>
      <c r="F467" s="398"/>
      <c r="G467" s="398"/>
      <c r="H467" s="398"/>
      <c r="I467" s="398"/>
      <c r="J467" s="400"/>
    </row>
    <row r="468" spans="2:10" s="384" customFormat="1" x14ac:dyDescent="0.2">
      <c r="B468" s="398"/>
      <c r="C468" s="399"/>
      <c r="D468" s="398"/>
      <c r="E468" s="398"/>
      <c r="F468" s="398"/>
      <c r="G468" s="398"/>
      <c r="H468" s="398"/>
      <c r="I468" s="398"/>
      <c r="J468" s="400"/>
    </row>
    <row r="469" spans="2:10" s="384" customFormat="1" x14ac:dyDescent="0.2">
      <c r="B469" s="398"/>
      <c r="C469" s="399"/>
      <c r="D469" s="398"/>
      <c r="E469" s="398"/>
      <c r="F469" s="398"/>
      <c r="G469" s="398"/>
      <c r="H469" s="398"/>
      <c r="I469" s="398"/>
      <c r="J469" s="400"/>
    </row>
    <row r="470" spans="2:10" s="384" customFormat="1" x14ac:dyDescent="0.2">
      <c r="B470" s="398"/>
      <c r="C470" s="399"/>
      <c r="D470" s="398"/>
      <c r="E470" s="398"/>
      <c r="F470" s="398"/>
      <c r="G470" s="398"/>
      <c r="H470" s="398"/>
      <c r="I470" s="398"/>
      <c r="J470" s="400"/>
    </row>
    <row r="471" spans="2:10" s="384" customFormat="1" x14ac:dyDescent="0.2">
      <c r="B471" s="398"/>
      <c r="C471" s="399"/>
      <c r="D471" s="398"/>
      <c r="E471" s="398"/>
      <c r="F471" s="398"/>
      <c r="G471" s="398"/>
      <c r="H471" s="398"/>
      <c r="I471" s="398"/>
      <c r="J471" s="400"/>
    </row>
    <row r="472" spans="2:10" s="384" customFormat="1" x14ac:dyDescent="0.2">
      <c r="B472" s="398"/>
      <c r="C472" s="399"/>
      <c r="D472" s="398"/>
      <c r="E472" s="398"/>
      <c r="F472" s="398"/>
      <c r="G472" s="398"/>
      <c r="H472" s="398"/>
      <c r="I472" s="398"/>
      <c r="J472" s="400"/>
    </row>
    <row r="473" spans="2:10" s="384" customFormat="1" x14ac:dyDescent="0.2">
      <c r="B473" s="398"/>
      <c r="C473" s="399"/>
      <c r="D473" s="398"/>
      <c r="E473" s="398"/>
      <c r="F473" s="398"/>
      <c r="G473" s="398"/>
      <c r="H473" s="398"/>
      <c r="I473" s="398"/>
      <c r="J473" s="400"/>
    </row>
    <row r="474" spans="2:10" s="384" customFormat="1" x14ac:dyDescent="0.2">
      <c r="B474" s="398"/>
      <c r="C474" s="399"/>
      <c r="D474" s="398"/>
      <c r="E474" s="398"/>
      <c r="F474" s="398"/>
      <c r="G474" s="398"/>
      <c r="H474" s="398"/>
      <c r="I474" s="398"/>
      <c r="J474" s="400"/>
    </row>
    <row r="475" spans="2:10" s="384" customFormat="1" x14ac:dyDescent="0.2">
      <c r="B475" s="398"/>
      <c r="C475" s="399"/>
      <c r="D475" s="398"/>
      <c r="E475" s="398"/>
      <c r="F475" s="398"/>
      <c r="G475" s="398"/>
      <c r="H475" s="398"/>
      <c r="I475" s="398"/>
      <c r="J475" s="400"/>
    </row>
    <row r="476" spans="2:10" s="384" customFormat="1" x14ac:dyDescent="0.2">
      <c r="B476" s="398"/>
      <c r="C476" s="399"/>
      <c r="D476" s="398"/>
      <c r="E476" s="398"/>
      <c r="F476" s="398"/>
      <c r="G476" s="398"/>
      <c r="H476" s="398"/>
      <c r="I476" s="398"/>
      <c r="J476" s="400"/>
    </row>
    <row r="477" spans="2:10" s="384" customFormat="1" x14ac:dyDescent="0.2">
      <c r="B477" s="398"/>
      <c r="C477" s="399"/>
      <c r="D477" s="398"/>
      <c r="E477" s="398"/>
      <c r="F477" s="398"/>
      <c r="G477" s="398"/>
      <c r="H477" s="398"/>
      <c r="I477" s="398"/>
      <c r="J477" s="400"/>
    </row>
    <row r="478" spans="2:10" s="384" customFormat="1" x14ac:dyDescent="0.2">
      <c r="B478" s="398"/>
      <c r="C478" s="399"/>
      <c r="D478" s="398"/>
      <c r="E478" s="398"/>
      <c r="F478" s="398"/>
      <c r="G478" s="398"/>
      <c r="H478" s="398"/>
      <c r="I478" s="398"/>
      <c r="J478" s="400"/>
    </row>
    <row r="479" spans="2:10" s="384" customFormat="1" x14ac:dyDescent="0.2">
      <c r="B479" s="398"/>
      <c r="C479" s="399"/>
      <c r="D479" s="398"/>
      <c r="E479" s="398"/>
      <c r="F479" s="398"/>
      <c r="G479" s="398"/>
      <c r="H479" s="398"/>
      <c r="I479" s="398"/>
      <c r="J479" s="400"/>
    </row>
    <row r="480" spans="2:10" s="384" customFormat="1" x14ac:dyDescent="0.2">
      <c r="B480" s="398"/>
      <c r="C480" s="399"/>
      <c r="D480" s="398"/>
      <c r="E480" s="398"/>
      <c r="F480" s="398"/>
      <c r="G480" s="398"/>
      <c r="H480" s="398"/>
      <c r="I480" s="398"/>
      <c r="J480" s="400"/>
    </row>
    <row r="481" spans="2:10" s="384" customFormat="1" x14ac:dyDescent="0.2">
      <c r="B481" s="398"/>
      <c r="C481" s="399"/>
      <c r="D481" s="398"/>
      <c r="E481" s="398"/>
      <c r="F481" s="398"/>
      <c r="G481" s="398"/>
      <c r="H481" s="398"/>
      <c r="I481" s="398"/>
      <c r="J481" s="400"/>
    </row>
    <row r="482" spans="2:10" s="384" customFormat="1" x14ac:dyDescent="0.2">
      <c r="B482" s="398"/>
      <c r="C482" s="399"/>
      <c r="D482" s="398"/>
      <c r="E482" s="398"/>
      <c r="F482" s="398"/>
      <c r="G482" s="398"/>
      <c r="H482" s="398"/>
      <c r="I482" s="398"/>
      <c r="J482" s="400"/>
    </row>
    <row r="483" spans="2:10" s="384" customFormat="1" x14ac:dyDescent="0.2">
      <c r="B483" s="398"/>
      <c r="C483" s="399"/>
      <c r="D483" s="398"/>
      <c r="E483" s="398"/>
      <c r="F483" s="398"/>
      <c r="G483" s="398"/>
      <c r="H483" s="398"/>
      <c r="I483" s="398"/>
      <c r="J483" s="400"/>
    </row>
    <row r="484" spans="2:10" s="384" customFormat="1" x14ac:dyDescent="0.2">
      <c r="B484" s="398"/>
      <c r="C484" s="399"/>
      <c r="D484" s="398"/>
      <c r="E484" s="398"/>
      <c r="F484" s="398"/>
      <c r="G484" s="398"/>
      <c r="H484" s="398"/>
      <c r="I484" s="398"/>
      <c r="J484" s="400"/>
    </row>
    <row r="485" spans="2:10" s="384" customFormat="1" x14ac:dyDescent="0.2">
      <c r="B485" s="398"/>
      <c r="C485" s="399"/>
      <c r="D485" s="398"/>
      <c r="E485" s="398"/>
      <c r="F485" s="398"/>
      <c r="G485" s="398"/>
      <c r="H485" s="398"/>
      <c r="I485" s="398"/>
      <c r="J485" s="400"/>
    </row>
    <row r="486" spans="2:10" s="384" customFormat="1" x14ac:dyDescent="0.2">
      <c r="B486" s="398"/>
      <c r="C486" s="399"/>
      <c r="D486" s="398"/>
      <c r="E486" s="398"/>
      <c r="F486" s="398"/>
      <c r="G486" s="398"/>
      <c r="H486" s="398"/>
      <c r="I486" s="398"/>
      <c r="J486" s="400"/>
    </row>
    <row r="487" spans="2:10" s="384" customFormat="1" x14ac:dyDescent="0.2">
      <c r="B487" s="398"/>
      <c r="C487" s="399"/>
      <c r="D487" s="398"/>
      <c r="E487" s="398"/>
      <c r="F487" s="398"/>
      <c r="G487" s="398"/>
      <c r="H487" s="398"/>
      <c r="I487" s="398"/>
      <c r="J487" s="400"/>
    </row>
    <row r="488" spans="2:10" s="384" customFormat="1" x14ac:dyDescent="0.2">
      <c r="B488" s="398"/>
      <c r="C488" s="399"/>
      <c r="D488" s="398"/>
      <c r="E488" s="398"/>
      <c r="F488" s="398"/>
      <c r="G488" s="398"/>
      <c r="H488" s="398"/>
      <c r="I488" s="398"/>
      <c r="J488" s="400"/>
    </row>
    <row r="489" spans="2:10" s="384" customFormat="1" x14ac:dyDescent="0.2">
      <c r="B489" s="398"/>
      <c r="C489" s="399"/>
      <c r="D489" s="398"/>
      <c r="E489" s="398"/>
      <c r="F489" s="398"/>
      <c r="G489" s="398"/>
      <c r="H489" s="398"/>
      <c r="I489" s="398"/>
      <c r="J489" s="400"/>
    </row>
    <row r="490" spans="2:10" s="384" customFormat="1" x14ac:dyDescent="0.2">
      <c r="B490" s="398"/>
      <c r="C490" s="399"/>
      <c r="D490" s="398"/>
      <c r="E490" s="398"/>
      <c r="F490" s="398"/>
      <c r="G490" s="398"/>
      <c r="H490" s="398"/>
      <c r="I490" s="398"/>
      <c r="J490" s="400"/>
    </row>
    <row r="491" spans="2:10" s="384" customFormat="1" x14ac:dyDescent="0.2">
      <c r="B491" s="398"/>
      <c r="C491" s="399"/>
      <c r="D491" s="398"/>
      <c r="E491" s="398"/>
      <c r="F491" s="398"/>
      <c r="G491" s="398"/>
      <c r="H491" s="398"/>
      <c r="I491" s="398"/>
      <c r="J491" s="400"/>
    </row>
    <row r="492" spans="2:10" s="384" customFormat="1" x14ac:dyDescent="0.2">
      <c r="B492" s="398"/>
      <c r="C492" s="399"/>
      <c r="D492" s="398"/>
      <c r="E492" s="398"/>
      <c r="F492" s="398"/>
      <c r="G492" s="398"/>
      <c r="H492" s="398"/>
      <c r="I492" s="398"/>
      <c r="J492" s="400"/>
    </row>
    <row r="493" spans="2:10" s="384" customFormat="1" x14ac:dyDescent="0.2">
      <c r="B493" s="398"/>
      <c r="C493" s="399"/>
      <c r="D493" s="398"/>
      <c r="E493" s="398"/>
      <c r="F493" s="398"/>
      <c r="G493" s="398"/>
      <c r="H493" s="398"/>
      <c r="I493" s="398"/>
      <c r="J493" s="400"/>
    </row>
    <row r="494" spans="2:10" s="384" customFormat="1" x14ac:dyDescent="0.2">
      <c r="B494" s="398"/>
      <c r="C494" s="399"/>
      <c r="D494" s="398"/>
      <c r="E494" s="398"/>
      <c r="F494" s="398"/>
      <c r="G494" s="398"/>
      <c r="H494" s="398"/>
      <c r="I494" s="398"/>
      <c r="J494" s="400"/>
    </row>
    <row r="495" spans="2:10" s="384" customFormat="1" x14ac:dyDescent="0.2">
      <c r="B495" s="398"/>
      <c r="C495" s="399"/>
      <c r="D495" s="398"/>
      <c r="E495" s="398"/>
      <c r="F495" s="398"/>
      <c r="G495" s="398"/>
      <c r="H495" s="398"/>
      <c r="I495" s="398"/>
      <c r="J495" s="400"/>
    </row>
    <row r="496" spans="2:10" s="384" customFormat="1" x14ac:dyDescent="0.2">
      <c r="B496" s="398"/>
      <c r="C496" s="399"/>
      <c r="D496" s="398"/>
      <c r="E496" s="398"/>
      <c r="F496" s="398"/>
      <c r="G496" s="398"/>
      <c r="H496" s="398"/>
      <c r="I496" s="398"/>
      <c r="J496" s="400"/>
    </row>
    <row r="497" spans="2:10" s="384" customFormat="1" x14ac:dyDescent="0.2">
      <c r="B497" s="398"/>
      <c r="C497" s="399"/>
      <c r="D497" s="398"/>
      <c r="E497" s="398"/>
      <c r="F497" s="398"/>
      <c r="G497" s="398"/>
      <c r="H497" s="398"/>
      <c r="I497" s="398"/>
      <c r="J497" s="400"/>
    </row>
    <row r="498" spans="2:10" s="384" customFormat="1" x14ac:dyDescent="0.2">
      <c r="B498" s="398"/>
      <c r="C498" s="399"/>
      <c r="D498" s="398"/>
      <c r="E498" s="398"/>
      <c r="F498" s="398"/>
      <c r="G498" s="398"/>
      <c r="H498" s="398"/>
      <c r="I498" s="398"/>
      <c r="J498" s="400"/>
    </row>
    <row r="499" spans="2:10" s="384" customFormat="1" x14ac:dyDescent="0.2">
      <c r="B499" s="398"/>
      <c r="C499" s="399"/>
      <c r="D499" s="398"/>
      <c r="E499" s="398"/>
      <c r="F499" s="398"/>
      <c r="G499" s="398"/>
      <c r="H499" s="398"/>
      <c r="I499" s="398"/>
      <c r="J499" s="400"/>
    </row>
    <row r="500" spans="2:10" s="384" customFormat="1" x14ac:dyDescent="0.2">
      <c r="B500" s="398"/>
      <c r="C500" s="399"/>
      <c r="D500" s="398"/>
      <c r="E500" s="398"/>
      <c r="F500" s="398"/>
      <c r="G500" s="398"/>
      <c r="H500" s="398"/>
      <c r="I500" s="398"/>
      <c r="J500" s="400"/>
    </row>
    <row r="501" spans="2:10" s="384" customFormat="1" x14ac:dyDescent="0.2">
      <c r="B501" s="398"/>
      <c r="C501" s="399"/>
      <c r="D501" s="398"/>
      <c r="E501" s="398"/>
      <c r="F501" s="398"/>
      <c r="G501" s="398"/>
      <c r="H501" s="398"/>
      <c r="I501" s="398"/>
      <c r="J501" s="400"/>
    </row>
    <row r="502" spans="2:10" s="384" customFormat="1" x14ac:dyDescent="0.2">
      <c r="B502" s="398"/>
      <c r="C502" s="399"/>
      <c r="D502" s="398"/>
      <c r="E502" s="398"/>
      <c r="F502" s="398"/>
      <c r="G502" s="398"/>
      <c r="H502" s="398"/>
      <c r="I502" s="398"/>
      <c r="J502" s="400"/>
    </row>
    <row r="503" spans="2:10" s="384" customFormat="1" x14ac:dyDescent="0.2">
      <c r="B503" s="398"/>
      <c r="C503" s="399"/>
      <c r="D503" s="398"/>
      <c r="E503" s="398"/>
      <c r="F503" s="398"/>
      <c r="G503" s="398"/>
      <c r="H503" s="398"/>
      <c r="I503" s="398"/>
      <c r="J503" s="400"/>
    </row>
    <row r="504" spans="2:10" s="384" customFormat="1" x14ac:dyDescent="0.2">
      <c r="B504" s="398"/>
      <c r="C504" s="399"/>
      <c r="D504" s="398"/>
      <c r="E504" s="398"/>
      <c r="F504" s="398"/>
      <c r="G504" s="398"/>
      <c r="H504" s="398"/>
      <c r="I504" s="398"/>
      <c r="J504" s="400"/>
    </row>
    <row r="505" spans="2:10" s="384" customFormat="1" x14ac:dyDescent="0.2">
      <c r="B505" s="398"/>
      <c r="C505" s="399"/>
      <c r="D505" s="398"/>
      <c r="E505" s="398"/>
      <c r="F505" s="398"/>
      <c r="G505" s="398"/>
      <c r="H505" s="398"/>
      <c r="I505" s="398"/>
      <c r="J505" s="400"/>
    </row>
    <row r="506" spans="2:10" s="384" customFormat="1" x14ac:dyDescent="0.2">
      <c r="B506" s="398"/>
      <c r="C506" s="399"/>
      <c r="D506" s="398"/>
      <c r="E506" s="398"/>
      <c r="F506" s="398"/>
      <c r="G506" s="398"/>
      <c r="H506" s="398"/>
      <c r="I506" s="398"/>
      <c r="J506" s="400"/>
    </row>
    <row r="507" spans="2:10" s="384" customFormat="1" x14ac:dyDescent="0.2">
      <c r="B507" s="398"/>
      <c r="C507" s="399"/>
      <c r="D507" s="398"/>
      <c r="E507" s="398"/>
      <c r="F507" s="398"/>
      <c r="G507" s="398"/>
      <c r="H507" s="398"/>
      <c r="I507" s="398"/>
      <c r="J507" s="400"/>
    </row>
    <row r="508" spans="2:10" s="384" customFormat="1" x14ac:dyDescent="0.2">
      <c r="B508" s="398"/>
      <c r="C508" s="399"/>
      <c r="D508" s="398"/>
      <c r="E508" s="398"/>
      <c r="F508" s="398"/>
      <c r="G508" s="398"/>
      <c r="H508" s="398"/>
      <c r="I508" s="398"/>
      <c r="J508" s="400"/>
    </row>
    <row r="509" spans="2:10" s="384" customFormat="1" x14ac:dyDescent="0.2">
      <c r="B509" s="398"/>
      <c r="C509" s="399"/>
      <c r="D509" s="398"/>
      <c r="E509" s="398"/>
      <c r="F509" s="398"/>
      <c r="G509" s="398"/>
      <c r="H509" s="398"/>
      <c r="I509" s="398"/>
      <c r="J509" s="400"/>
    </row>
    <row r="510" spans="2:10" s="384" customFormat="1" x14ac:dyDescent="0.2">
      <c r="B510" s="398"/>
      <c r="C510" s="399"/>
      <c r="D510" s="398"/>
      <c r="E510" s="398"/>
      <c r="F510" s="398"/>
      <c r="G510" s="398"/>
      <c r="H510" s="398"/>
      <c r="I510" s="398"/>
      <c r="J510" s="400"/>
    </row>
    <row r="511" spans="2:10" s="384" customFormat="1" x14ac:dyDescent="0.2">
      <c r="B511" s="398"/>
      <c r="C511" s="399"/>
      <c r="D511" s="398"/>
      <c r="E511" s="398"/>
      <c r="F511" s="398"/>
      <c r="G511" s="398"/>
      <c r="H511" s="398"/>
      <c r="I511" s="398"/>
      <c r="J511" s="400"/>
    </row>
    <row r="512" spans="2:10" s="384" customFormat="1" x14ac:dyDescent="0.2">
      <c r="B512" s="398"/>
      <c r="C512" s="399"/>
      <c r="D512" s="398"/>
      <c r="E512" s="398"/>
      <c r="F512" s="398"/>
      <c r="G512" s="398"/>
      <c r="H512" s="398"/>
      <c r="I512" s="398"/>
      <c r="J512" s="400"/>
    </row>
    <row r="513" spans="2:10" s="384" customFormat="1" x14ac:dyDescent="0.2">
      <c r="B513" s="398"/>
      <c r="C513" s="399"/>
      <c r="D513" s="398"/>
      <c r="E513" s="398"/>
      <c r="F513" s="398"/>
      <c r="G513" s="398"/>
      <c r="H513" s="398"/>
      <c r="I513" s="398"/>
      <c r="J513" s="400"/>
    </row>
    <row r="514" spans="2:10" s="384" customFormat="1" x14ac:dyDescent="0.2">
      <c r="B514" s="398"/>
      <c r="C514" s="399"/>
      <c r="D514" s="398"/>
      <c r="E514" s="398"/>
      <c r="F514" s="398"/>
      <c r="G514" s="398"/>
      <c r="H514" s="398"/>
      <c r="I514" s="398"/>
      <c r="J514" s="400"/>
    </row>
    <row r="515" spans="2:10" s="384" customFormat="1" x14ac:dyDescent="0.2">
      <c r="B515" s="398"/>
      <c r="C515" s="399"/>
      <c r="D515" s="398"/>
      <c r="E515" s="398"/>
      <c r="F515" s="398"/>
      <c r="G515" s="398"/>
      <c r="H515" s="398"/>
      <c r="I515" s="398"/>
      <c r="J515" s="400"/>
    </row>
    <row r="516" spans="2:10" s="384" customFormat="1" x14ac:dyDescent="0.2">
      <c r="B516" s="398"/>
      <c r="C516" s="399"/>
      <c r="D516" s="398"/>
      <c r="E516" s="398"/>
      <c r="F516" s="398"/>
      <c r="G516" s="398"/>
      <c r="H516" s="398"/>
      <c r="I516" s="398"/>
      <c r="J516" s="400"/>
    </row>
    <row r="517" spans="2:10" s="384" customFormat="1" x14ac:dyDescent="0.2">
      <c r="B517" s="398"/>
      <c r="C517" s="399"/>
      <c r="D517" s="398"/>
      <c r="E517" s="398"/>
      <c r="F517" s="398"/>
      <c r="G517" s="398"/>
      <c r="H517" s="398"/>
      <c r="I517" s="398"/>
      <c r="J517" s="400"/>
    </row>
    <row r="518" spans="2:10" s="384" customFormat="1" x14ac:dyDescent="0.2">
      <c r="B518" s="398"/>
      <c r="C518" s="399"/>
      <c r="D518" s="398"/>
      <c r="E518" s="398"/>
      <c r="F518" s="398"/>
      <c r="G518" s="398"/>
      <c r="H518" s="398"/>
      <c r="I518" s="398"/>
      <c r="J518" s="400"/>
    </row>
    <row r="519" spans="2:10" s="384" customFormat="1" x14ac:dyDescent="0.2">
      <c r="B519" s="398"/>
      <c r="C519" s="399"/>
      <c r="D519" s="398"/>
      <c r="E519" s="398"/>
      <c r="F519" s="398"/>
      <c r="G519" s="398"/>
      <c r="H519" s="398"/>
      <c r="I519" s="398"/>
      <c r="J519" s="400"/>
    </row>
    <row r="520" spans="2:10" s="384" customFormat="1" x14ac:dyDescent="0.2">
      <c r="B520" s="398"/>
      <c r="C520" s="399"/>
      <c r="D520" s="398"/>
      <c r="E520" s="398"/>
      <c r="F520" s="398"/>
      <c r="G520" s="398"/>
      <c r="H520" s="398"/>
      <c r="I520" s="398"/>
      <c r="J520" s="400"/>
    </row>
    <row r="521" spans="2:10" s="384" customFormat="1" x14ac:dyDescent="0.2">
      <c r="B521" s="398"/>
      <c r="C521" s="399"/>
      <c r="D521" s="398"/>
      <c r="E521" s="398"/>
      <c r="F521" s="398"/>
      <c r="G521" s="398"/>
      <c r="H521" s="398"/>
      <c r="I521" s="398"/>
      <c r="J521" s="400"/>
    </row>
    <row r="522" spans="2:10" s="384" customFormat="1" x14ac:dyDescent="0.2">
      <c r="B522" s="398"/>
      <c r="C522" s="399"/>
      <c r="D522" s="398"/>
      <c r="E522" s="398"/>
      <c r="F522" s="398"/>
      <c r="G522" s="398"/>
      <c r="H522" s="398"/>
      <c r="I522" s="398"/>
      <c r="J522" s="400"/>
    </row>
    <row r="523" spans="2:10" s="384" customFormat="1" x14ac:dyDescent="0.2">
      <c r="B523" s="398"/>
      <c r="C523" s="399"/>
      <c r="D523" s="398"/>
      <c r="E523" s="398"/>
      <c r="F523" s="398"/>
      <c r="G523" s="398"/>
      <c r="H523" s="398"/>
      <c r="I523" s="398"/>
      <c r="J523" s="400"/>
    </row>
    <row r="524" spans="2:10" s="384" customFormat="1" x14ac:dyDescent="0.2">
      <c r="B524" s="398"/>
      <c r="C524" s="399"/>
      <c r="D524" s="398"/>
      <c r="E524" s="398"/>
      <c r="F524" s="398"/>
      <c r="G524" s="398"/>
      <c r="H524" s="398"/>
      <c r="I524" s="398"/>
      <c r="J524" s="400"/>
    </row>
    <row r="525" spans="2:10" s="384" customFormat="1" x14ac:dyDescent="0.2">
      <c r="B525" s="398"/>
      <c r="C525" s="399"/>
      <c r="D525" s="398"/>
      <c r="E525" s="398"/>
      <c r="F525" s="398"/>
      <c r="G525" s="398"/>
      <c r="H525" s="398"/>
      <c r="I525" s="398"/>
      <c r="J525" s="400"/>
    </row>
    <row r="526" spans="2:10" s="384" customFormat="1" x14ac:dyDescent="0.2">
      <c r="B526" s="398"/>
      <c r="C526" s="399"/>
      <c r="D526" s="398"/>
      <c r="E526" s="398"/>
      <c r="F526" s="398"/>
      <c r="G526" s="398"/>
      <c r="H526" s="398"/>
      <c r="I526" s="398"/>
      <c r="J526" s="400"/>
    </row>
    <row r="527" spans="2:10" s="384" customFormat="1" x14ac:dyDescent="0.2">
      <c r="B527" s="398"/>
      <c r="C527" s="399"/>
      <c r="D527" s="398"/>
      <c r="E527" s="398"/>
      <c r="F527" s="398"/>
      <c r="G527" s="398"/>
      <c r="H527" s="398"/>
      <c r="I527" s="398"/>
      <c r="J527" s="400"/>
    </row>
    <row r="528" spans="2:10" s="384" customFormat="1" x14ac:dyDescent="0.2">
      <c r="B528" s="398"/>
      <c r="C528" s="399"/>
      <c r="D528" s="398"/>
      <c r="E528" s="398"/>
      <c r="F528" s="398"/>
      <c r="G528" s="398"/>
      <c r="H528" s="398"/>
      <c r="I528" s="398"/>
      <c r="J528" s="400"/>
    </row>
    <row r="529" spans="2:10" s="384" customFormat="1" x14ac:dyDescent="0.2">
      <c r="B529" s="398"/>
      <c r="C529" s="399"/>
      <c r="D529" s="398"/>
      <c r="E529" s="398"/>
      <c r="F529" s="398"/>
      <c r="G529" s="398"/>
      <c r="H529" s="398"/>
      <c r="I529" s="398"/>
      <c r="J529" s="400"/>
    </row>
    <row r="530" spans="2:10" s="384" customFormat="1" x14ac:dyDescent="0.2">
      <c r="B530" s="398"/>
      <c r="C530" s="399"/>
      <c r="D530" s="398"/>
      <c r="E530" s="398"/>
      <c r="F530" s="398"/>
      <c r="G530" s="398"/>
      <c r="H530" s="398"/>
      <c r="I530" s="398"/>
      <c r="J530" s="400"/>
    </row>
    <row r="531" spans="2:10" s="384" customFormat="1" x14ac:dyDescent="0.2">
      <c r="B531" s="398"/>
      <c r="C531" s="399"/>
      <c r="D531" s="398"/>
      <c r="E531" s="398"/>
      <c r="F531" s="398"/>
      <c r="G531" s="398"/>
      <c r="H531" s="398"/>
      <c r="I531" s="398"/>
      <c r="J531" s="400"/>
    </row>
    <row r="532" spans="2:10" s="384" customFormat="1" x14ac:dyDescent="0.2">
      <c r="B532" s="398"/>
      <c r="C532" s="399"/>
      <c r="D532" s="398"/>
      <c r="E532" s="398"/>
      <c r="F532" s="398"/>
      <c r="G532" s="398"/>
      <c r="H532" s="398"/>
      <c r="I532" s="398"/>
      <c r="J532" s="400"/>
    </row>
    <row r="533" spans="2:10" s="384" customFormat="1" x14ac:dyDescent="0.2">
      <c r="B533" s="398"/>
      <c r="C533" s="399"/>
      <c r="D533" s="398"/>
      <c r="E533" s="398"/>
      <c r="F533" s="398"/>
      <c r="G533" s="398"/>
      <c r="H533" s="398"/>
      <c r="I533" s="398"/>
      <c r="J533" s="400"/>
    </row>
    <row r="534" spans="2:10" s="384" customFormat="1" x14ac:dyDescent="0.2">
      <c r="B534" s="398"/>
      <c r="C534" s="399"/>
      <c r="D534" s="398"/>
      <c r="E534" s="398"/>
      <c r="F534" s="398"/>
      <c r="G534" s="398"/>
      <c r="H534" s="398"/>
      <c r="I534" s="398"/>
      <c r="J534" s="400"/>
    </row>
    <row r="535" spans="2:10" s="384" customFormat="1" x14ac:dyDescent="0.2">
      <c r="B535" s="398"/>
      <c r="C535" s="399"/>
      <c r="D535" s="398"/>
      <c r="E535" s="398"/>
      <c r="F535" s="398"/>
      <c r="G535" s="398"/>
      <c r="H535" s="398"/>
      <c r="I535" s="398"/>
      <c r="J535" s="400"/>
    </row>
    <row r="536" spans="2:10" s="384" customFormat="1" x14ac:dyDescent="0.2">
      <c r="B536" s="398"/>
      <c r="C536" s="399"/>
      <c r="D536" s="398"/>
      <c r="E536" s="398"/>
      <c r="F536" s="398"/>
      <c r="G536" s="398"/>
      <c r="H536" s="398"/>
      <c r="I536" s="398"/>
      <c r="J536" s="400"/>
    </row>
    <row r="537" spans="2:10" s="384" customFormat="1" x14ac:dyDescent="0.2">
      <c r="B537" s="398"/>
      <c r="C537" s="399"/>
      <c r="D537" s="398"/>
      <c r="E537" s="398"/>
      <c r="F537" s="398"/>
      <c r="G537" s="398"/>
      <c r="H537" s="398"/>
      <c r="I537" s="398"/>
      <c r="J537" s="400"/>
    </row>
    <row r="538" spans="2:10" s="384" customFormat="1" x14ac:dyDescent="0.2">
      <c r="B538" s="398"/>
      <c r="C538" s="399"/>
      <c r="D538" s="398"/>
      <c r="E538" s="398"/>
      <c r="F538" s="398"/>
      <c r="G538" s="398"/>
      <c r="H538" s="398"/>
      <c r="I538" s="398"/>
      <c r="J538" s="400"/>
    </row>
    <row r="539" spans="2:10" s="384" customFormat="1" x14ac:dyDescent="0.2">
      <c r="B539" s="398"/>
      <c r="C539" s="399"/>
      <c r="D539" s="398"/>
      <c r="E539" s="398"/>
      <c r="F539" s="398"/>
      <c r="G539" s="398"/>
      <c r="H539" s="398"/>
      <c r="I539" s="398"/>
      <c r="J539" s="400"/>
    </row>
    <row r="540" spans="2:10" s="384" customFormat="1" x14ac:dyDescent="0.2">
      <c r="B540" s="398"/>
      <c r="C540" s="399"/>
      <c r="D540" s="398"/>
      <c r="E540" s="398"/>
      <c r="F540" s="398"/>
      <c r="G540" s="398"/>
      <c r="H540" s="398"/>
      <c r="I540" s="398"/>
      <c r="J540" s="400"/>
    </row>
    <row r="541" spans="2:10" s="384" customFormat="1" x14ac:dyDescent="0.2">
      <c r="B541" s="398"/>
      <c r="C541" s="399"/>
      <c r="D541" s="398"/>
      <c r="E541" s="398"/>
      <c r="F541" s="398"/>
      <c r="G541" s="398"/>
      <c r="H541" s="398"/>
      <c r="I541" s="398"/>
      <c r="J541" s="400"/>
    </row>
    <row r="542" spans="2:10" s="384" customFormat="1" x14ac:dyDescent="0.2">
      <c r="B542" s="398"/>
      <c r="C542" s="399"/>
      <c r="D542" s="398"/>
      <c r="E542" s="398"/>
      <c r="F542" s="398"/>
      <c r="G542" s="398"/>
      <c r="H542" s="398"/>
      <c r="I542" s="398"/>
      <c r="J542" s="400"/>
    </row>
    <row r="543" spans="2:10" s="384" customFormat="1" x14ac:dyDescent="0.2">
      <c r="B543" s="398"/>
      <c r="C543" s="399"/>
      <c r="D543" s="398"/>
      <c r="E543" s="398"/>
      <c r="F543" s="398"/>
      <c r="G543" s="398"/>
      <c r="H543" s="398"/>
      <c r="I543" s="398"/>
      <c r="J543" s="400"/>
    </row>
    <row r="544" spans="2:10" s="384" customFormat="1" x14ac:dyDescent="0.2">
      <c r="B544" s="398"/>
      <c r="C544" s="399"/>
      <c r="D544" s="398"/>
      <c r="E544" s="398"/>
      <c r="F544" s="398"/>
      <c r="G544" s="398"/>
      <c r="H544" s="398"/>
      <c r="I544" s="398"/>
      <c r="J544" s="400"/>
    </row>
    <row r="545" spans="2:10" s="384" customFormat="1" x14ac:dyDescent="0.2">
      <c r="B545" s="398"/>
      <c r="C545" s="399"/>
      <c r="D545" s="398"/>
      <c r="E545" s="398"/>
      <c r="F545" s="398"/>
      <c r="G545" s="398"/>
      <c r="H545" s="398"/>
      <c r="I545" s="398"/>
      <c r="J545" s="400"/>
    </row>
    <row r="546" spans="2:10" s="384" customFormat="1" x14ac:dyDescent="0.2">
      <c r="B546" s="398"/>
      <c r="C546" s="399"/>
      <c r="D546" s="398"/>
      <c r="E546" s="398"/>
      <c r="F546" s="398"/>
      <c r="G546" s="398"/>
      <c r="H546" s="398"/>
      <c r="I546" s="398"/>
      <c r="J546" s="400"/>
    </row>
    <row r="547" spans="2:10" s="384" customFormat="1" x14ac:dyDescent="0.2">
      <c r="B547" s="398"/>
      <c r="C547" s="399"/>
      <c r="D547" s="398"/>
      <c r="E547" s="398"/>
      <c r="F547" s="398"/>
      <c r="G547" s="398"/>
      <c r="H547" s="398"/>
      <c r="I547" s="398"/>
      <c r="J547" s="400"/>
    </row>
    <row r="548" spans="2:10" s="384" customFormat="1" x14ac:dyDescent="0.2">
      <c r="B548" s="398"/>
      <c r="C548" s="399"/>
      <c r="D548" s="398"/>
      <c r="E548" s="398"/>
      <c r="F548" s="398"/>
      <c r="G548" s="398"/>
      <c r="H548" s="398"/>
      <c r="I548" s="398"/>
      <c r="J548" s="400"/>
    </row>
    <row r="549" spans="2:10" s="384" customFormat="1" x14ac:dyDescent="0.2">
      <c r="B549" s="398"/>
      <c r="C549" s="399"/>
      <c r="D549" s="398"/>
      <c r="E549" s="398"/>
      <c r="F549" s="398"/>
      <c r="G549" s="398"/>
      <c r="H549" s="398"/>
      <c r="I549" s="398"/>
      <c r="J549" s="400"/>
    </row>
    <row r="550" spans="2:10" s="384" customFormat="1" x14ac:dyDescent="0.2">
      <c r="B550" s="398"/>
      <c r="C550" s="399"/>
      <c r="D550" s="398"/>
      <c r="E550" s="398"/>
      <c r="F550" s="398"/>
      <c r="G550" s="398"/>
      <c r="H550" s="398"/>
      <c r="I550" s="398"/>
      <c r="J550" s="400"/>
    </row>
    <row r="551" spans="2:10" s="384" customFormat="1" x14ac:dyDescent="0.2">
      <c r="B551" s="398"/>
      <c r="C551" s="399"/>
      <c r="D551" s="398"/>
      <c r="E551" s="398"/>
      <c r="F551" s="398"/>
      <c r="G551" s="398"/>
      <c r="H551" s="398"/>
      <c r="I551" s="398"/>
      <c r="J551" s="400"/>
    </row>
    <row r="552" spans="2:10" s="384" customFormat="1" x14ac:dyDescent="0.2">
      <c r="B552" s="398"/>
      <c r="C552" s="399"/>
      <c r="D552" s="398"/>
      <c r="E552" s="398"/>
      <c r="F552" s="398"/>
      <c r="G552" s="398"/>
      <c r="H552" s="398"/>
      <c r="I552" s="398"/>
      <c r="J552" s="400"/>
    </row>
    <row r="553" spans="2:10" s="384" customFormat="1" x14ac:dyDescent="0.2">
      <c r="B553" s="398"/>
      <c r="C553" s="399"/>
      <c r="D553" s="398"/>
      <c r="E553" s="398"/>
      <c r="F553" s="398"/>
      <c r="G553" s="398"/>
      <c r="H553" s="398"/>
      <c r="I553" s="398"/>
      <c r="J553" s="400"/>
    </row>
    <row r="554" spans="2:10" s="384" customFormat="1" x14ac:dyDescent="0.2">
      <c r="B554" s="398"/>
      <c r="C554" s="399"/>
      <c r="D554" s="398"/>
      <c r="E554" s="398"/>
      <c r="F554" s="398"/>
      <c r="G554" s="398"/>
      <c r="H554" s="398"/>
      <c r="I554" s="398"/>
      <c r="J554" s="400"/>
    </row>
    <row r="555" spans="2:10" s="384" customFormat="1" x14ac:dyDescent="0.2">
      <c r="B555" s="398"/>
      <c r="C555" s="399"/>
      <c r="D555" s="398"/>
      <c r="E555" s="398"/>
      <c r="F555" s="398"/>
      <c r="G555" s="398"/>
      <c r="H555" s="398"/>
      <c r="I555" s="398"/>
      <c r="J555" s="400"/>
    </row>
    <row r="556" spans="2:10" s="384" customFormat="1" x14ac:dyDescent="0.2">
      <c r="B556" s="398"/>
      <c r="C556" s="399"/>
      <c r="D556" s="398"/>
      <c r="E556" s="398"/>
      <c r="F556" s="398"/>
      <c r="G556" s="398"/>
      <c r="H556" s="398"/>
      <c r="I556" s="398"/>
      <c r="J556" s="400"/>
    </row>
    <row r="557" spans="2:10" s="384" customFormat="1" x14ac:dyDescent="0.2">
      <c r="B557" s="398"/>
      <c r="C557" s="399"/>
      <c r="D557" s="398"/>
      <c r="E557" s="398"/>
      <c r="F557" s="398"/>
      <c r="G557" s="398"/>
      <c r="H557" s="398"/>
      <c r="I557" s="398"/>
      <c r="J557" s="400"/>
    </row>
    <row r="558" spans="2:10" s="384" customFormat="1" x14ac:dyDescent="0.2">
      <c r="B558" s="398"/>
      <c r="C558" s="399"/>
      <c r="D558" s="398"/>
      <c r="E558" s="398"/>
      <c r="F558" s="398"/>
      <c r="G558" s="398"/>
      <c r="H558" s="398"/>
      <c r="I558" s="398"/>
      <c r="J558" s="400"/>
    </row>
    <row r="559" spans="2:10" s="384" customFormat="1" x14ac:dyDescent="0.2">
      <c r="B559" s="398"/>
      <c r="C559" s="399"/>
      <c r="D559" s="398"/>
      <c r="E559" s="398"/>
      <c r="F559" s="398"/>
      <c r="G559" s="398"/>
      <c r="H559" s="398"/>
      <c r="I559" s="398"/>
      <c r="J559" s="400"/>
    </row>
    <row r="560" spans="2:10" s="384" customFormat="1" x14ac:dyDescent="0.2">
      <c r="B560" s="398"/>
      <c r="C560" s="399"/>
      <c r="D560" s="398"/>
      <c r="E560" s="398"/>
      <c r="F560" s="398"/>
      <c r="G560" s="398"/>
      <c r="H560" s="398"/>
      <c r="I560" s="398"/>
      <c r="J560" s="400"/>
    </row>
    <row r="561" spans="2:10" s="384" customFormat="1" x14ac:dyDescent="0.2">
      <c r="B561" s="398"/>
      <c r="C561" s="399"/>
      <c r="D561" s="398"/>
      <c r="E561" s="398"/>
      <c r="F561" s="398"/>
      <c r="G561" s="398"/>
      <c r="H561" s="398"/>
      <c r="I561" s="398"/>
      <c r="J561" s="400"/>
    </row>
    <row r="562" spans="2:10" s="384" customFormat="1" x14ac:dyDescent="0.2">
      <c r="B562" s="398"/>
      <c r="C562" s="399"/>
      <c r="D562" s="398"/>
      <c r="E562" s="398"/>
      <c r="F562" s="398"/>
      <c r="G562" s="398"/>
      <c r="H562" s="398"/>
      <c r="I562" s="398"/>
      <c r="J562" s="400"/>
    </row>
    <row r="563" spans="2:10" s="384" customFormat="1" x14ac:dyDescent="0.2">
      <c r="B563" s="398"/>
      <c r="C563" s="399"/>
      <c r="D563" s="398"/>
      <c r="E563" s="398"/>
      <c r="F563" s="398"/>
      <c r="G563" s="398"/>
      <c r="H563" s="398"/>
      <c r="I563" s="398"/>
      <c r="J563" s="400"/>
    </row>
    <row r="564" spans="2:10" s="384" customFormat="1" x14ac:dyDescent="0.2">
      <c r="B564" s="398"/>
      <c r="C564" s="399"/>
      <c r="D564" s="398"/>
      <c r="E564" s="398"/>
      <c r="F564" s="398"/>
      <c r="G564" s="398"/>
      <c r="H564" s="398"/>
      <c r="I564" s="398"/>
      <c r="J564" s="400"/>
    </row>
    <row r="565" spans="2:10" s="384" customFormat="1" x14ac:dyDescent="0.2">
      <c r="B565" s="398"/>
      <c r="C565" s="399"/>
      <c r="D565" s="398"/>
      <c r="E565" s="398"/>
      <c r="F565" s="398"/>
      <c r="G565" s="398"/>
      <c r="H565" s="398"/>
      <c r="I565" s="398"/>
      <c r="J565" s="400"/>
    </row>
    <row r="566" spans="2:10" s="384" customFormat="1" x14ac:dyDescent="0.2">
      <c r="B566" s="398"/>
      <c r="C566" s="399"/>
      <c r="D566" s="398"/>
      <c r="E566" s="398"/>
      <c r="F566" s="398"/>
      <c r="G566" s="398"/>
      <c r="H566" s="398"/>
      <c r="I566" s="398"/>
      <c r="J566" s="400"/>
    </row>
    <row r="567" spans="2:10" s="384" customFormat="1" x14ac:dyDescent="0.2">
      <c r="B567" s="398"/>
      <c r="C567" s="399"/>
      <c r="D567" s="398"/>
      <c r="E567" s="398"/>
      <c r="F567" s="398"/>
      <c r="G567" s="398"/>
      <c r="H567" s="398"/>
      <c r="I567" s="398"/>
      <c r="J567" s="400"/>
    </row>
    <row r="568" spans="2:10" s="384" customFormat="1" x14ac:dyDescent="0.2">
      <c r="B568" s="398"/>
      <c r="C568" s="399"/>
      <c r="D568" s="398"/>
      <c r="E568" s="398"/>
      <c r="F568" s="398"/>
      <c r="G568" s="398"/>
      <c r="H568" s="398"/>
      <c r="I568" s="398"/>
      <c r="J568" s="400"/>
    </row>
    <row r="569" spans="2:10" s="384" customFormat="1" x14ac:dyDescent="0.2">
      <c r="B569" s="398"/>
      <c r="C569" s="399"/>
      <c r="D569" s="398"/>
      <c r="E569" s="398"/>
      <c r="F569" s="398"/>
      <c r="G569" s="398"/>
      <c r="H569" s="398"/>
      <c r="I569" s="398"/>
      <c r="J569" s="400"/>
    </row>
    <row r="570" spans="2:10" s="384" customFormat="1" x14ac:dyDescent="0.2">
      <c r="B570" s="398"/>
      <c r="C570" s="399"/>
      <c r="D570" s="398"/>
      <c r="E570" s="398"/>
      <c r="F570" s="398"/>
      <c r="G570" s="398"/>
      <c r="H570" s="398"/>
      <c r="I570" s="398"/>
      <c r="J570" s="400"/>
    </row>
    <row r="571" spans="2:10" s="384" customFormat="1" x14ac:dyDescent="0.2">
      <c r="B571" s="398"/>
      <c r="C571" s="399"/>
      <c r="D571" s="398"/>
      <c r="E571" s="398"/>
      <c r="F571" s="398"/>
      <c r="G571" s="398"/>
      <c r="H571" s="398"/>
      <c r="I571" s="398"/>
      <c r="J571" s="400"/>
    </row>
    <row r="572" spans="2:10" s="384" customFormat="1" x14ac:dyDescent="0.2">
      <c r="B572" s="398"/>
      <c r="C572" s="399"/>
      <c r="D572" s="398"/>
      <c r="E572" s="398"/>
      <c r="F572" s="398"/>
      <c r="G572" s="398"/>
      <c r="H572" s="398"/>
      <c r="I572" s="398"/>
      <c r="J572" s="400"/>
    </row>
    <row r="573" spans="2:10" s="384" customFormat="1" x14ac:dyDescent="0.2">
      <c r="B573" s="398"/>
      <c r="C573" s="399"/>
      <c r="D573" s="398"/>
      <c r="E573" s="398"/>
      <c r="F573" s="398"/>
      <c r="G573" s="398"/>
      <c r="H573" s="398"/>
      <c r="I573" s="398"/>
      <c r="J573" s="400"/>
    </row>
    <row r="574" spans="2:10" s="384" customFormat="1" x14ac:dyDescent="0.2">
      <c r="B574" s="398"/>
      <c r="C574" s="399"/>
      <c r="D574" s="398"/>
      <c r="E574" s="398"/>
      <c r="F574" s="398"/>
      <c r="G574" s="398"/>
      <c r="H574" s="398"/>
      <c r="I574" s="398"/>
      <c r="J574" s="400"/>
    </row>
    <row r="575" spans="2:10" s="384" customFormat="1" x14ac:dyDescent="0.2">
      <c r="B575" s="398"/>
      <c r="C575" s="399"/>
      <c r="D575" s="398"/>
      <c r="E575" s="398"/>
      <c r="F575" s="398"/>
      <c r="G575" s="398"/>
      <c r="H575" s="398"/>
      <c r="I575" s="398"/>
      <c r="J575" s="400"/>
    </row>
    <row r="576" spans="2:10" s="384" customFormat="1" x14ac:dyDescent="0.2">
      <c r="B576" s="398"/>
      <c r="C576" s="399"/>
      <c r="D576" s="398"/>
      <c r="E576" s="398"/>
      <c r="F576" s="398"/>
      <c r="G576" s="398"/>
      <c r="H576" s="398"/>
      <c r="I576" s="398"/>
      <c r="J576" s="400"/>
    </row>
    <row r="577" spans="2:10" s="384" customFormat="1" x14ac:dyDescent="0.2">
      <c r="B577" s="398"/>
      <c r="C577" s="399"/>
      <c r="D577" s="398"/>
      <c r="E577" s="398"/>
      <c r="F577" s="398"/>
      <c r="G577" s="398"/>
      <c r="H577" s="398"/>
      <c r="I577" s="398"/>
      <c r="J577" s="400"/>
    </row>
    <row r="578" spans="2:10" s="384" customFormat="1" x14ac:dyDescent="0.2">
      <c r="B578" s="398"/>
      <c r="C578" s="399"/>
      <c r="D578" s="398"/>
      <c r="E578" s="398"/>
      <c r="F578" s="398"/>
      <c r="G578" s="398"/>
      <c r="H578" s="398"/>
      <c r="I578" s="398"/>
      <c r="J578" s="400"/>
    </row>
    <row r="579" spans="2:10" s="384" customFormat="1" x14ac:dyDescent="0.2">
      <c r="B579" s="398"/>
      <c r="C579" s="399"/>
      <c r="D579" s="398"/>
      <c r="E579" s="398"/>
      <c r="F579" s="398"/>
      <c r="G579" s="398"/>
      <c r="H579" s="398"/>
      <c r="I579" s="398"/>
      <c r="J579" s="400"/>
    </row>
    <row r="580" spans="2:10" s="384" customFormat="1" x14ac:dyDescent="0.2">
      <c r="B580" s="398"/>
      <c r="C580" s="399"/>
      <c r="D580" s="398"/>
      <c r="E580" s="398"/>
      <c r="F580" s="398"/>
      <c r="G580" s="398"/>
      <c r="H580" s="398"/>
      <c r="I580" s="398"/>
      <c r="J580" s="400"/>
    </row>
    <row r="581" spans="2:10" s="384" customFormat="1" x14ac:dyDescent="0.2">
      <c r="B581" s="398"/>
      <c r="C581" s="399"/>
      <c r="D581" s="398"/>
      <c r="E581" s="398"/>
      <c r="F581" s="398"/>
      <c r="G581" s="398"/>
      <c r="H581" s="398"/>
      <c r="I581" s="398"/>
      <c r="J581" s="400"/>
    </row>
    <row r="582" spans="2:10" s="384" customFormat="1" x14ac:dyDescent="0.2">
      <c r="B582" s="398"/>
      <c r="C582" s="399"/>
      <c r="D582" s="398"/>
      <c r="E582" s="398"/>
      <c r="F582" s="398"/>
      <c r="G582" s="398"/>
      <c r="H582" s="398"/>
      <c r="I582" s="398"/>
      <c r="J582" s="400"/>
    </row>
    <row r="583" spans="2:10" s="384" customFormat="1" x14ac:dyDescent="0.2">
      <c r="B583" s="398"/>
      <c r="C583" s="399"/>
      <c r="D583" s="398"/>
      <c r="E583" s="398"/>
      <c r="F583" s="398"/>
      <c r="G583" s="398"/>
      <c r="H583" s="398"/>
      <c r="I583" s="398"/>
      <c r="J583" s="400"/>
    </row>
    <row r="584" spans="2:10" s="384" customFormat="1" x14ac:dyDescent="0.2">
      <c r="B584" s="398"/>
      <c r="C584" s="399"/>
      <c r="D584" s="398"/>
      <c r="E584" s="398"/>
      <c r="F584" s="398"/>
      <c r="G584" s="398"/>
      <c r="H584" s="398"/>
      <c r="I584" s="398"/>
      <c r="J584" s="400"/>
    </row>
    <row r="585" spans="2:10" s="384" customFormat="1" x14ac:dyDescent="0.2">
      <c r="B585" s="398"/>
      <c r="C585" s="399"/>
      <c r="D585" s="398"/>
      <c r="E585" s="398"/>
      <c r="F585" s="398"/>
      <c r="G585" s="398"/>
      <c r="H585" s="398"/>
      <c r="I585" s="398"/>
      <c r="J585" s="400"/>
    </row>
    <row r="586" spans="2:10" s="384" customFormat="1" x14ac:dyDescent="0.2">
      <c r="B586" s="398"/>
      <c r="C586" s="399"/>
      <c r="D586" s="398"/>
      <c r="E586" s="398"/>
      <c r="F586" s="398"/>
      <c r="G586" s="398"/>
      <c r="H586" s="398"/>
      <c r="I586" s="398"/>
      <c r="J586" s="400"/>
    </row>
    <row r="587" spans="2:10" s="384" customFormat="1" x14ac:dyDescent="0.2">
      <c r="B587" s="398"/>
      <c r="C587" s="399"/>
      <c r="D587" s="398"/>
      <c r="E587" s="398"/>
      <c r="F587" s="398"/>
      <c r="G587" s="398"/>
      <c r="H587" s="398"/>
      <c r="I587" s="398"/>
      <c r="J587" s="400"/>
    </row>
    <row r="588" spans="2:10" s="384" customFormat="1" x14ac:dyDescent="0.2">
      <c r="B588" s="398"/>
      <c r="C588" s="399"/>
      <c r="D588" s="398"/>
      <c r="E588" s="398"/>
      <c r="F588" s="398"/>
      <c r="G588" s="398"/>
      <c r="H588" s="398"/>
      <c r="I588" s="398"/>
      <c r="J588" s="400"/>
    </row>
    <row r="589" spans="2:10" s="384" customFormat="1" x14ac:dyDescent="0.2">
      <c r="B589" s="398"/>
      <c r="C589" s="399"/>
      <c r="D589" s="398"/>
      <c r="E589" s="398"/>
      <c r="F589" s="398"/>
      <c r="G589" s="398"/>
      <c r="H589" s="398"/>
      <c r="I589" s="398"/>
      <c r="J589" s="400"/>
    </row>
    <row r="590" spans="2:10" s="384" customFormat="1" x14ac:dyDescent="0.2">
      <c r="B590" s="398"/>
      <c r="C590" s="399"/>
      <c r="D590" s="398"/>
      <c r="E590" s="398"/>
      <c r="F590" s="398"/>
      <c r="G590" s="398"/>
      <c r="H590" s="398"/>
      <c r="I590" s="398"/>
      <c r="J590" s="400"/>
    </row>
    <row r="591" spans="2:10" s="384" customFormat="1" x14ac:dyDescent="0.2">
      <c r="B591" s="398"/>
      <c r="C591" s="399"/>
      <c r="D591" s="398"/>
      <c r="E591" s="398"/>
      <c r="F591" s="398"/>
      <c r="G591" s="398"/>
      <c r="H591" s="398"/>
      <c r="I591" s="398"/>
      <c r="J591" s="400"/>
    </row>
    <row r="592" spans="2:10" s="384" customFormat="1" x14ac:dyDescent="0.2">
      <c r="B592" s="398"/>
      <c r="C592" s="399"/>
      <c r="D592" s="398"/>
      <c r="E592" s="398"/>
      <c r="F592" s="398"/>
      <c r="G592" s="398"/>
      <c r="H592" s="398"/>
      <c r="I592" s="398"/>
      <c r="J592" s="400"/>
    </row>
    <row r="593" spans="2:10" s="384" customFormat="1" x14ac:dyDescent="0.2">
      <c r="B593" s="398"/>
      <c r="C593" s="399"/>
      <c r="D593" s="398"/>
      <c r="E593" s="398"/>
      <c r="F593" s="398"/>
      <c r="G593" s="398"/>
      <c r="H593" s="398"/>
      <c r="I593" s="398"/>
      <c r="J593" s="400"/>
    </row>
    <row r="594" spans="2:10" s="384" customFormat="1" x14ac:dyDescent="0.2">
      <c r="B594" s="398"/>
      <c r="C594" s="399"/>
      <c r="D594" s="398"/>
      <c r="E594" s="398"/>
      <c r="F594" s="398"/>
      <c r="G594" s="398"/>
      <c r="H594" s="398"/>
      <c r="I594" s="398"/>
      <c r="J594" s="400"/>
    </row>
    <row r="595" spans="2:10" s="384" customFormat="1" x14ac:dyDescent="0.2">
      <c r="B595" s="398"/>
      <c r="C595" s="399"/>
      <c r="D595" s="398"/>
      <c r="E595" s="398"/>
      <c r="F595" s="398"/>
      <c r="G595" s="398"/>
      <c r="H595" s="398"/>
      <c r="I595" s="398"/>
      <c r="J595" s="400"/>
    </row>
    <row r="596" spans="2:10" s="384" customFormat="1" x14ac:dyDescent="0.2">
      <c r="B596" s="398"/>
      <c r="C596" s="399"/>
      <c r="D596" s="398"/>
      <c r="E596" s="398"/>
      <c r="F596" s="398"/>
      <c r="G596" s="398"/>
      <c r="H596" s="398"/>
      <c r="I596" s="398"/>
      <c r="J596" s="400"/>
    </row>
    <row r="597" spans="2:10" s="384" customFormat="1" x14ac:dyDescent="0.2">
      <c r="B597" s="398"/>
      <c r="C597" s="399"/>
      <c r="D597" s="398"/>
      <c r="E597" s="398"/>
      <c r="F597" s="398"/>
      <c r="G597" s="398"/>
      <c r="H597" s="398"/>
      <c r="I597" s="398"/>
      <c r="J597" s="400"/>
    </row>
    <row r="598" spans="2:10" s="384" customFormat="1" x14ac:dyDescent="0.2">
      <c r="B598" s="398"/>
      <c r="C598" s="399"/>
      <c r="D598" s="398"/>
      <c r="E598" s="398"/>
      <c r="F598" s="398"/>
      <c r="G598" s="398"/>
      <c r="H598" s="398"/>
      <c r="I598" s="398"/>
      <c r="J598" s="400"/>
    </row>
    <row r="599" spans="2:10" s="384" customFormat="1" x14ac:dyDescent="0.2">
      <c r="B599" s="398"/>
      <c r="C599" s="399"/>
      <c r="D599" s="398"/>
      <c r="E599" s="398"/>
      <c r="F599" s="398"/>
      <c r="G599" s="398"/>
      <c r="H599" s="398"/>
      <c r="I599" s="398"/>
      <c r="J599" s="400"/>
    </row>
    <row r="600" spans="2:10" s="384" customFormat="1" x14ac:dyDescent="0.2">
      <c r="B600" s="398"/>
      <c r="C600" s="399"/>
      <c r="D600" s="398"/>
      <c r="E600" s="398"/>
      <c r="F600" s="398"/>
      <c r="G600" s="398"/>
      <c r="H600" s="398"/>
      <c r="I600" s="398"/>
      <c r="J600" s="400"/>
    </row>
    <row r="601" spans="2:10" s="384" customFormat="1" x14ac:dyDescent="0.2">
      <c r="B601" s="398"/>
      <c r="C601" s="399"/>
      <c r="D601" s="398"/>
      <c r="E601" s="398"/>
      <c r="F601" s="398"/>
      <c r="G601" s="398"/>
      <c r="H601" s="398"/>
      <c r="I601" s="398"/>
      <c r="J601" s="400"/>
    </row>
    <row r="602" spans="2:10" s="384" customFormat="1" x14ac:dyDescent="0.2">
      <c r="B602" s="398"/>
      <c r="C602" s="399"/>
      <c r="D602" s="398"/>
      <c r="E602" s="398"/>
      <c r="F602" s="398"/>
      <c r="G602" s="398"/>
      <c r="H602" s="398"/>
      <c r="I602" s="398"/>
      <c r="J602" s="400"/>
    </row>
    <row r="603" spans="2:10" s="384" customFormat="1" x14ac:dyDescent="0.2">
      <c r="B603" s="398"/>
      <c r="C603" s="399"/>
      <c r="D603" s="398"/>
      <c r="E603" s="398"/>
      <c r="F603" s="398"/>
      <c r="G603" s="398"/>
      <c r="H603" s="398"/>
      <c r="I603" s="398"/>
      <c r="J603" s="400"/>
    </row>
    <row r="604" spans="2:10" s="384" customFormat="1" x14ac:dyDescent="0.2">
      <c r="B604" s="398"/>
      <c r="C604" s="399"/>
      <c r="D604" s="398"/>
      <c r="E604" s="398"/>
      <c r="F604" s="398"/>
      <c r="G604" s="398"/>
      <c r="H604" s="398"/>
      <c r="I604" s="398"/>
      <c r="J604" s="400"/>
    </row>
    <row r="605" spans="2:10" s="384" customFormat="1" x14ac:dyDescent="0.2">
      <c r="B605" s="398"/>
      <c r="C605" s="399"/>
      <c r="D605" s="398"/>
      <c r="E605" s="398"/>
      <c r="F605" s="398"/>
      <c r="G605" s="398"/>
      <c r="H605" s="398"/>
      <c r="I605" s="398"/>
      <c r="J605" s="400"/>
    </row>
    <row r="606" spans="2:10" s="384" customFormat="1" x14ac:dyDescent="0.2">
      <c r="B606" s="398"/>
      <c r="C606" s="399"/>
      <c r="D606" s="398"/>
      <c r="E606" s="398"/>
      <c r="F606" s="398"/>
      <c r="G606" s="398"/>
      <c r="H606" s="398"/>
      <c r="I606" s="398"/>
      <c r="J606" s="400"/>
    </row>
    <row r="607" spans="2:10" s="384" customFormat="1" x14ac:dyDescent="0.2">
      <c r="B607" s="398"/>
      <c r="C607" s="399"/>
      <c r="D607" s="398"/>
      <c r="E607" s="398"/>
      <c r="F607" s="398"/>
      <c r="G607" s="398"/>
      <c r="H607" s="398"/>
      <c r="I607" s="398"/>
      <c r="J607" s="400"/>
    </row>
    <row r="608" spans="2:10" s="384" customFormat="1" x14ac:dyDescent="0.2">
      <c r="B608" s="398"/>
      <c r="C608" s="399"/>
      <c r="D608" s="398"/>
      <c r="E608" s="398"/>
      <c r="F608" s="398"/>
      <c r="G608" s="398"/>
      <c r="H608" s="398"/>
      <c r="I608" s="398"/>
      <c r="J608" s="400"/>
    </row>
    <row r="609" spans="2:10" s="384" customFormat="1" x14ac:dyDescent="0.2">
      <c r="B609" s="398"/>
      <c r="C609" s="399"/>
      <c r="D609" s="398"/>
      <c r="E609" s="398"/>
      <c r="F609" s="398"/>
      <c r="G609" s="398"/>
      <c r="H609" s="398"/>
      <c r="I609" s="398"/>
      <c r="J609" s="400"/>
    </row>
    <row r="610" spans="2:10" s="384" customFormat="1" x14ac:dyDescent="0.2">
      <c r="B610" s="398"/>
      <c r="C610" s="399"/>
      <c r="D610" s="398"/>
      <c r="E610" s="398"/>
      <c r="F610" s="398"/>
      <c r="G610" s="398"/>
      <c r="H610" s="398"/>
      <c r="I610" s="398"/>
      <c r="J610" s="400"/>
    </row>
    <row r="611" spans="2:10" s="384" customFormat="1" x14ac:dyDescent="0.2">
      <c r="B611" s="398"/>
      <c r="C611" s="399"/>
      <c r="D611" s="398"/>
      <c r="E611" s="398"/>
      <c r="F611" s="398"/>
      <c r="G611" s="398"/>
      <c r="H611" s="398"/>
      <c r="I611" s="398"/>
      <c r="J611" s="400"/>
    </row>
    <row r="612" spans="2:10" s="384" customFormat="1" x14ac:dyDescent="0.2">
      <c r="B612" s="398"/>
      <c r="C612" s="399"/>
      <c r="D612" s="398"/>
      <c r="E612" s="398"/>
      <c r="F612" s="398"/>
      <c r="G612" s="398"/>
      <c r="H612" s="398"/>
      <c r="I612" s="398"/>
      <c r="J612" s="400"/>
    </row>
    <row r="613" spans="2:10" s="384" customFormat="1" x14ac:dyDescent="0.2">
      <c r="B613" s="398"/>
      <c r="C613" s="399"/>
      <c r="D613" s="398"/>
      <c r="E613" s="398"/>
      <c r="F613" s="398"/>
      <c r="G613" s="398"/>
      <c r="H613" s="398"/>
      <c r="I613" s="398"/>
      <c r="J613" s="400"/>
    </row>
    <row r="614" spans="2:10" s="384" customFormat="1" x14ac:dyDescent="0.2">
      <c r="B614" s="398"/>
      <c r="C614" s="399"/>
      <c r="D614" s="398"/>
      <c r="E614" s="398"/>
      <c r="F614" s="398"/>
      <c r="G614" s="398"/>
      <c r="H614" s="398"/>
      <c r="I614" s="398"/>
      <c r="J614" s="400"/>
    </row>
    <row r="615" spans="2:10" s="384" customFormat="1" x14ac:dyDescent="0.2">
      <c r="B615" s="398"/>
      <c r="C615" s="399"/>
      <c r="D615" s="398"/>
      <c r="E615" s="398"/>
      <c r="F615" s="398"/>
      <c r="G615" s="398"/>
      <c r="H615" s="398"/>
      <c r="I615" s="398"/>
      <c r="J615" s="400"/>
    </row>
    <row r="616" spans="2:10" s="384" customFormat="1" x14ac:dyDescent="0.2">
      <c r="B616" s="398"/>
      <c r="C616" s="399"/>
      <c r="D616" s="398"/>
      <c r="E616" s="398"/>
      <c r="F616" s="398"/>
      <c r="G616" s="398"/>
      <c r="H616" s="398"/>
      <c r="I616" s="398"/>
      <c r="J616" s="400"/>
    </row>
    <row r="617" spans="2:10" s="384" customFormat="1" x14ac:dyDescent="0.2">
      <c r="B617" s="398"/>
      <c r="C617" s="399"/>
      <c r="D617" s="398"/>
      <c r="E617" s="398"/>
      <c r="F617" s="398"/>
      <c r="G617" s="398"/>
      <c r="H617" s="398"/>
      <c r="I617" s="398"/>
      <c r="J617" s="400"/>
    </row>
    <row r="618" spans="2:10" s="384" customFormat="1" x14ac:dyDescent="0.2">
      <c r="B618" s="398"/>
      <c r="C618" s="399"/>
      <c r="D618" s="398"/>
      <c r="E618" s="398"/>
      <c r="F618" s="398"/>
      <c r="G618" s="398"/>
      <c r="H618" s="398"/>
      <c r="I618" s="398"/>
      <c r="J618" s="400"/>
    </row>
    <row r="619" spans="2:10" s="384" customFormat="1" x14ac:dyDescent="0.2">
      <c r="B619" s="398"/>
      <c r="C619" s="399"/>
      <c r="D619" s="398"/>
      <c r="E619" s="398"/>
      <c r="F619" s="398"/>
      <c r="G619" s="398"/>
      <c r="H619" s="398"/>
      <c r="I619" s="398"/>
      <c r="J619" s="400"/>
    </row>
    <row r="620" spans="2:10" s="384" customFormat="1" x14ac:dyDescent="0.2">
      <c r="B620" s="398"/>
      <c r="C620" s="399"/>
      <c r="D620" s="398"/>
      <c r="E620" s="398"/>
      <c r="F620" s="398"/>
      <c r="G620" s="398"/>
      <c r="H620" s="398"/>
      <c r="I620" s="398"/>
      <c r="J620" s="400"/>
    </row>
    <row r="621" spans="2:10" s="384" customFormat="1" x14ac:dyDescent="0.2">
      <c r="B621" s="398"/>
      <c r="C621" s="399"/>
      <c r="D621" s="398"/>
      <c r="E621" s="398"/>
      <c r="F621" s="398"/>
      <c r="G621" s="398"/>
      <c r="H621" s="398"/>
      <c r="I621" s="398"/>
      <c r="J621" s="400"/>
    </row>
    <row r="622" spans="2:10" s="384" customFormat="1" x14ac:dyDescent="0.2">
      <c r="B622" s="398"/>
      <c r="C622" s="399"/>
      <c r="D622" s="398"/>
      <c r="E622" s="398"/>
      <c r="F622" s="398"/>
      <c r="G622" s="398"/>
      <c r="H622" s="398"/>
      <c r="I622" s="398"/>
      <c r="J622" s="400"/>
    </row>
    <row r="623" spans="2:10" s="384" customFormat="1" x14ac:dyDescent="0.2">
      <c r="B623" s="398"/>
      <c r="C623" s="399"/>
      <c r="D623" s="398"/>
      <c r="E623" s="398"/>
      <c r="F623" s="398"/>
      <c r="G623" s="398"/>
      <c r="H623" s="398"/>
      <c r="I623" s="398"/>
      <c r="J623" s="400"/>
    </row>
    <row r="624" spans="2:10" s="384" customFormat="1" x14ac:dyDescent="0.2">
      <c r="B624" s="398"/>
      <c r="C624" s="399"/>
      <c r="D624" s="398"/>
      <c r="E624" s="398"/>
      <c r="F624" s="398"/>
      <c r="G624" s="398"/>
      <c r="H624" s="398"/>
      <c r="I624" s="398"/>
      <c r="J624" s="400"/>
    </row>
    <row r="625" spans="2:10" s="384" customFormat="1" x14ac:dyDescent="0.2">
      <c r="B625" s="398"/>
      <c r="C625" s="399"/>
      <c r="D625" s="398"/>
      <c r="E625" s="398"/>
      <c r="F625" s="398"/>
      <c r="G625" s="398"/>
      <c r="H625" s="398"/>
      <c r="I625" s="398"/>
      <c r="J625" s="400"/>
    </row>
    <row r="626" spans="2:10" s="384" customFormat="1" x14ac:dyDescent="0.2">
      <c r="B626" s="398"/>
      <c r="C626" s="399"/>
      <c r="D626" s="398"/>
      <c r="E626" s="398"/>
      <c r="F626" s="398"/>
      <c r="G626" s="398"/>
      <c r="H626" s="398"/>
      <c r="I626" s="398"/>
      <c r="J626" s="400"/>
    </row>
    <row r="627" spans="2:10" s="384" customFormat="1" x14ac:dyDescent="0.2">
      <c r="B627" s="398"/>
      <c r="C627" s="399"/>
      <c r="D627" s="398"/>
      <c r="E627" s="398"/>
      <c r="F627" s="398"/>
      <c r="G627" s="398"/>
      <c r="H627" s="398"/>
      <c r="I627" s="398"/>
      <c r="J627" s="400"/>
    </row>
    <row r="628" spans="2:10" s="384" customFormat="1" x14ac:dyDescent="0.2">
      <c r="B628" s="398"/>
      <c r="C628" s="399"/>
      <c r="D628" s="398"/>
      <c r="E628" s="398"/>
      <c r="F628" s="398"/>
      <c r="G628" s="398"/>
      <c r="H628" s="398"/>
      <c r="I628" s="398"/>
      <c r="J628" s="400"/>
    </row>
    <row r="629" spans="2:10" s="384" customFormat="1" x14ac:dyDescent="0.2">
      <c r="B629" s="398"/>
      <c r="C629" s="399"/>
      <c r="D629" s="398"/>
      <c r="E629" s="398"/>
      <c r="F629" s="398"/>
      <c r="G629" s="398"/>
      <c r="H629" s="398"/>
      <c r="I629" s="398"/>
      <c r="J629" s="400"/>
    </row>
    <row r="630" spans="2:10" s="384" customFormat="1" x14ac:dyDescent="0.2">
      <c r="B630" s="398"/>
      <c r="C630" s="399"/>
      <c r="D630" s="398"/>
      <c r="E630" s="398"/>
      <c r="F630" s="398"/>
      <c r="G630" s="398"/>
      <c r="H630" s="398"/>
      <c r="I630" s="398"/>
      <c r="J630" s="400"/>
    </row>
    <row r="631" spans="2:10" s="384" customFormat="1" x14ac:dyDescent="0.2">
      <c r="B631" s="398"/>
      <c r="C631" s="399"/>
      <c r="D631" s="398"/>
      <c r="E631" s="398"/>
      <c r="F631" s="398"/>
      <c r="G631" s="398"/>
      <c r="H631" s="398"/>
      <c r="I631" s="398"/>
      <c r="J631" s="400"/>
    </row>
    <row r="632" spans="2:10" s="384" customFormat="1" x14ac:dyDescent="0.2">
      <c r="B632" s="398"/>
      <c r="C632" s="399"/>
      <c r="D632" s="398"/>
      <c r="E632" s="398"/>
      <c r="F632" s="398"/>
      <c r="G632" s="398"/>
      <c r="H632" s="398"/>
      <c r="I632" s="398"/>
      <c r="J632" s="400"/>
    </row>
    <row r="633" spans="2:10" s="384" customFormat="1" x14ac:dyDescent="0.2">
      <c r="B633" s="398"/>
      <c r="C633" s="399"/>
      <c r="D633" s="398"/>
      <c r="E633" s="398"/>
      <c r="F633" s="398"/>
      <c r="G633" s="398"/>
      <c r="H633" s="398"/>
      <c r="I633" s="398"/>
      <c r="J633" s="400"/>
    </row>
    <row r="634" spans="2:10" s="384" customFormat="1" x14ac:dyDescent="0.2">
      <c r="B634" s="398"/>
      <c r="C634" s="399"/>
      <c r="D634" s="398"/>
      <c r="E634" s="398"/>
      <c r="F634" s="398"/>
      <c r="G634" s="398"/>
      <c r="H634" s="398"/>
      <c r="I634" s="398"/>
      <c r="J634" s="400"/>
    </row>
    <row r="635" spans="2:10" s="384" customFormat="1" x14ac:dyDescent="0.2">
      <c r="B635" s="398"/>
      <c r="C635" s="399"/>
      <c r="D635" s="398"/>
      <c r="E635" s="398"/>
      <c r="F635" s="398"/>
      <c r="G635" s="398"/>
      <c r="H635" s="398"/>
      <c r="I635" s="398"/>
      <c r="J635" s="400"/>
    </row>
    <row r="636" spans="2:10" s="384" customFormat="1" x14ac:dyDescent="0.2">
      <c r="B636" s="398"/>
      <c r="C636" s="399"/>
      <c r="D636" s="398"/>
      <c r="E636" s="398"/>
      <c r="F636" s="398"/>
      <c r="G636" s="398"/>
      <c r="H636" s="398"/>
      <c r="I636" s="398"/>
      <c r="J636" s="400"/>
    </row>
    <row r="637" spans="2:10" s="384" customFormat="1" x14ac:dyDescent="0.2">
      <c r="B637" s="398"/>
      <c r="C637" s="399"/>
      <c r="D637" s="398"/>
      <c r="E637" s="398"/>
      <c r="F637" s="398"/>
      <c r="G637" s="398"/>
      <c r="H637" s="398"/>
      <c r="I637" s="398"/>
      <c r="J637" s="400"/>
    </row>
    <row r="638" spans="2:10" s="384" customFormat="1" x14ac:dyDescent="0.2">
      <c r="B638" s="398"/>
      <c r="C638" s="399"/>
      <c r="D638" s="398"/>
      <c r="E638" s="398"/>
      <c r="F638" s="398"/>
      <c r="G638" s="398"/>
      <c r="H638" s="398"/>
      <c r="I638" s="398"/>
      <c r="J638" s="400"/>
    </row>
    <row r="639" spans="2:10" s="384" customFormat="1" x14ac:dyDescent="0.2">
      <c r="B639" s="398"/>
      <c r="C639" s="399"/>
      <c r="D639" s="398"/>
      <c r="E639" s="398"/>
      <c r="F639" s="398"/>
      <c r="G639" s="398"/>
      <c r="H639" s="398"/>
      <c r="I639" s="398"/>
      <c r="J639" s="400"/>
    </row>
    <row r="640" spans="2:10" s="384" customFormat="1" x14ac:dyDescent="0.2">
      <c r="B640" s="398"/>
      <c r="C640" s="399"/>
      <c r="D640" s="398"/>
      <c r="E640" s="398"/>
      <c r="F640" s="398"/>
      <c r="G640" s="398"/>
      <c r="H640" s="398"/>
      <c r="I640" s="398"/>
      <c r="J640" s="400"/>
    </row>
    <row r="641" spans="2:10" s="384" customFormat="1" x14ac:dyDescent="0.2">
      <c r="B641" s="398"/>
      <c r="C641" s="399"/>
      <c r="D641" s="398"/>
      <c r="E641" s="398"/>
      <c r="F641" s="398"/>
      <c r="G641" s="398"/>
      <c r="H641" s="398"/>
      <c r="I641" s="398"/>
      <c r="J641" s="400"/>
    </row>
    <row r="642" spans="2:10" s="384" customFormat="1" x14ac:dyDescent="0.2">
      <c r="B642" s="398"/>
      <c r="C642" s="399"/>
      <c r="D642" s="398"/>
      <c r="E642" s="398"/>
      <c r="F642" s="398"/>
      <c r="G642" s="398"/>
      <c r="H642" s="398"/>
      <c r="I642" s="398"/>
      <c r="J642" s="400"/>
    </row>
    <row r="643" spans="2:10" s="384" customFormat="1" x14ac:dyDescent="0.2">
      <c r="B643" s="398"/>
      <c r="C643" s="399"/>
      <c r="D643" s="398"/>
      <c r="E643" s="398"/>
      <c r="F643" s="398"/>
      <c r="G643" s="398"/>
      <c r="H643" s="398"/>
      <c r="I643" s="398"/>
      <c r="J643" s="400"/>
    </row>
    <row r="644" spans="2:10" s="384" customFormat="1" x14ac:dyDescent="0.2">
      <c r="B644" s="398"/>
      <c r="C644" s="399"/>
      <c r="D644" s="398"/>
      <c r="E644" s="398"/>
      <c r="F644" s="398"/>
      <c r="G644" s="398"/>
      <c r="H644" s="398"/>
      <c r="I644" s="398"/>
      <c r="J644" s="400"/>
    </row>
    <row r="645" spans="2:10" s="384" customFormat="1" x14ac:dyDescent="0.2">
      <c r="B645" s="398"/>
      <c r="C645" s="399"/>
      <c r="D645" s="398"/>
      <c r="E645" s="398"/>
      <c r="F645" s="398"/>
      <c r="G645" s="398"/>
      <c r="H645" s="398"/>
      <c r="I645" s="398"/>
      <c r="J645" s="400"/>
    </row>
    <row r="646" spans="2:10" s="384" customFormat="1" x14ac:dyDescent="0.2">
      <c r="B646" s="398"/>
      <c r="C646" s="399"/>
      <c r="D646" s="398"/>
      <c r="E646" s="398"/>
      <c r="F646" s="398"/>
      <c r="G646" s="398"/>
      <c r="H646" s="398"/>
      <c r="I646" s="398"/>
      <c r="J646" s="400"/>
    </row>
    <row r="647" spans="2:10" s="384" customFormat="1" x14ac:dyDescent="0.2">
      <c r="B647" s="398"/>
      <c r="C647" s="399"/>
      <c r="D647" s="398"/>
      <c r="E647" s="398"/>
      <c r="F647" s="398"/>
      <c r="G647" s="398"/>
      <c r="H647" s="398"/>
      <c r="I647" s="398"/>
      <c r="J647" s="400"/>
    </row>
    <row r="648" spans="2:10" s="384" customFormat="1" x14ac:dyDescent="0.2">
      <c r="B648" s="398"/>
      <c r="C648" s="399"/>
      <c r="D648" s="398"/>
      <c r="E648" s="398"/>
      <c r="F648" s="398"/>
      <c r="G648" s="398"/>
      <c r="H648" s="398"/>
      <c r="I648" s="398"/>
      <c r="J648" s="400"/>
    </row>
    <row r="649" spans="2:10" s="384" customFormat="1" x14ac:dyDescent="0.2">
      <c r="B649" s="398"/>
      <c r="C649" s="399"/>
      <c r="D649" s="398"/>
      <c r="E649" s="398"/>
      <c r="F649" s="398"/>
      <c r="G649" s="398"/>
      <c r="H649" s="398"/>
      <c r="I649" s="398"/>
      <c r="J649" s="400"/>
    </row>
    <row r="650" spans="2:10" s="384" customFormat="1" x14ac:dyDescent="0.2">
      <c r="B650" s="398"/>
      <c r="C650" s="399"/>
      <c r="D650" s="398"/>
      <c r="E650" s="398"/>
      <c r="F650" s="398"/>
      <c r="G650" s="398"/>
      <c r="H650" s="398"/>
      <c r="I650" s="398"/>
      <c r="J650" s="400"/>
    </row>
    <row r="651" spans="2:10" s="384" customFormat="1" x14ac:dyDescent="0.2">
      <c r="B651" s="398"/>
      <c r="C651" s="399"/>
      <c r="D651" s="398"/>
      <c r="E651" s="398"/>
      <c r="F651" s="398"/>
      <c r="G651" s="398"/>
      <c r="H651" s="398"/>
      <c r="I651" s="398"/>
      <c r="J651" s="400"/>
    </row>
    <row r="652" spans="2:10" s="384" customFormat="1" x14ac:dyDescent="0.2">
      <c r="B652" s="398"/>
      <c r="C652" s="399"/>
      <c r="D652" s="398"/>
      <c r="E652" s="398"/>
      <c r="F652" s="398"/>
      <c r="G652" s="398"/>
      <c r="H652" s="398"/>
      <c r="I652" s="398"/>
      <c r="J652" s="400"/>
    </row>
    <row r="653" spans="2:10" s="384" customFormat="1" x14ac:dyDescent="0.2">
      <c r="B653" s="398"/>
      <c r="C653" s="399"/>
      <c r="D653" s="398"/>
      <c r="E653" s="398"/>
      <c r="F653" s="398"/>
      <c r="G653" s="398"/>
      <c r="H653" s="398"/>
      <c r="I653" s="398"/>
      <c r="J653" s="400"/>
    </row>
    <row r="654" spans="2:10" s="384" customFormat="1" x14ac:dyDescent="0.2">
      <c r="B654" s="398"/>
      <c r="C654" s="399"/>
      <c r="D654" s="398"/>
      <c r="E654" s="398"/>
      <c r="F654" s="398"/>
      <c r="G654" s="398"/>
      <c r="H654" s="398"/>
      <c r="I654" s="398"/>
      <c r="J654" s="400"/>
    </row>
    <row r="655" spans="2:10" s="384" customFormat="1" x14ac:dyDescent="0.2">
      <c r="B655" s="398"/>
      <c r="C655" s="399"/>
      <c r="D655" s="398"/>
      <c r="E655" s="398"/>
      <c r="F655" s="398"/>
      <c r="G655" s="398"/>
      <c r="H655" s="398"/>
      <c r="I655" s="398"/>
      <c r="J655" s="400"/>
    </row>
    <row r="656" spans="2:10" s="384" customFormat="1" x14ac:dyDescent="0.2">
      <c r="B656" s="398"/>
      <c r="C656" s="399"/>
      <c r="D656" s="398"/>
      <c r="E656" s="398"/>
      <c r="F656" s="398"/>
      <c r="G656" s="398"/>
      <c r="H656" s="398"/>
      <c r="I656" s="398"/>
      <c r="J656" s="400"/>
    </row>
    <row r="657" spans="2:10" s="384" customFormat="1" x14ac:dyDescent="0.2">
      <c r="B657" s="398"/>
      <c r="C657" s="399"/>
      <c r="D657" s="398"/>
      <c r="E657" s="398"/>
      <c r="F657" s="398"/>
      <c r="G657" s="398"/>
      <c r="H657" s="398"/>
      <c r="I657" s="398"/>
      <c r="J657" s="400"/>
    </row>
    <row r="658" spans="2:10" s="384" customFormat="1" x14ac:dyDescent="0.2">
      <c r="B658" s="398"/>
      <c r="C658" s="399"/>
      <c r="D658" s="398"/>
      <c r="E658" s="398"/>
      <c r="F658" s="398"/>
      <c r="G658" s="398"/>
      <c r="H658" s="398"/>
      <c r="I658" s="398"/>
      <c r="J658" s="400"/>
    </row>
    <row r="659" spans="2:10" s="384" customFormat="1" x14ac:dyDescent="0.2">
      <c r="B659" s="398"/>
      <c r="C659" s="399"/>
      <c r="D659" s="398"/>
      <c r="E659" s="398"/>
      <c r="F659" s="398"/>
      <c r="G659" s="398"/>
      <c r="H659" s="398"/>
      <c r="I659" s="398"/>
      <c r="J659" s="400"/>
    </row>
    <row r="660" spans="2:10" s="384" customFormat="1" x14ac:dyDescent="0.2">
      <c r="B660" s="398"/>
      <c r="C660" s="399"/>
      <c r="D660" s="398"/>
      <c r="E660" s="398"/>
      <c r="F660" s="398"/>
      <c r="G660" s="398"/>
      <c r="H660" s="398"/>
      <c r="I660" s="398"/>
      <c r="J660" s="400"/>
    </row>
    <row r="661" spans="2:10" s="384" customFormat="1" x14ac:dyDescent="0.2">
      <c r="B661" s="398"/>
      <c r="C661" s="399"/>
      <c r="D661" s="398"/>
      <c r="E661" s="398"/>
      <c r="F661" s="398"/>
      <c r="G661" s="398"/>
      <c r="H661" s="398"/>
      <c r="I661" s="398"/>
      <c r="J661" s="400"/>
    </row>
    <row r="662" spans="2:10" s="384" customFormat="1" x14ac:dyDescent="0.2">
      <c r="B662" s="398"/>
      <c r="C662" s="399"/>
      <c r="D662" s="398"/>
      <c r="E662" s="398"/>
      <c r="F662" s="398"/>
      <c r="G662" s="398"/>
      <c r="H662" s="398"/>
      <c r="I662" s="398"/>
      <c r="J662" s="400"/>
    </row>
    <row r="663" spans="2:10" s="384" customFormat="1" x14ac:dyDescent="0.2">
      <c r="B663" s="398"/>
      <c r="C663" s="399"/>
      <c r="D663" s="398"/>
      <c r="E663" s="398"/>
      <c r="F663" s="398"/>
      <c r="G663" s="398"/>
      <c r="H663" s="398"/>
      <c r="I663" s="398"/>
      <c r="J663" s="400"/>
    </row>
    <row r="664" spans="2:10" s="384" customFormat="1" x14ac:dyDescent="0.2">
      <c r="B664" s="398"/>
      <c r="C664" s="399"/>
      <c r="D664" s="398"/>
      <c r="E664" s="398"/>
      <c r="F664" s="398"/>
      <c r="G664" s="398"/>
      <c r="H664" s="398"/>
      <c r="I664" s="398"/>
      <c r="J664" s="400"/>
    </row>
    <row r="665" spans="2:10" s="384" customFormat="1" x14ac:dyDescent="0.2">
      <c r="B665" s="398"/>
      <c r="C665" s="399"/>
      <c r="D665" s="398"/>
      <c r="E665" s="398"/>
      <c r="F665" s="398"/>
      <c r="G665" s="398"/>
      <c r="H665" s="398"/>
      <c r="I665" s="398"/>
      <c r="J665" s="400"/>
    </row>
    <row r="666" spans="2:10" s="384" customFormat="1" x14ac:dyDescent="0.2">
      <c r="B666" s="398"/>
      <c r="C666" s="399"/>
      <c r="D666" s="398"/>
      <c r="E666" s="398"/>
      <c r="F666" s="398"/>
      <c r="G666" s="398"/>
      <c r="H666" s="398"/>
      <c r="I666" s="398"/>
      <c r="J666" s="400"/>
    </row>
    <row r="667" spans="2:10" s="384" customFormat="1" x14ac:dyDescent="0.2">
      <c r="B667" s="398"/>
      <c r="C667" s="399"/>
      <c r="D667" s="398"/>
      <c r="E667" s="398"/>
      <c r="F667" s="398"/>
      <c r="G667" s="398"/>
      <c r="H667" s="398"/>
      <c r="I667" s="398"/>
      <c r="J667" s="400"/>
    </row>
    <row r="668" spans="2:10" s="384" customFormat="1" x14ac:dyDescent="0.2">
      <c r="B668" s="398"/>
      <c r="C668" s="399"/>
      <c r="D668" s="398"/>
      <c r="E668" s="398"/>
      <c r="F668" s="398"/>
      <c r="G668" s="398"/>
      <c r="H668" s="398"/>
      <c r="I668" s="398"/>
      <c r="J668" s="400"/>
    </row>
    <row r="669" spans="2:10" s="384" customFormat="1" x14ac:dyDescent="0.2">
      <c r="B669" s="398"/>
      <c r="C669" s="399"/>
      <c r="D669" s="398"/>
      <c r="E669" s="398"/>
      <c r="F669" s="398"/>
      <c r="G669" s="398"/>
      <c r="H669" s="398"/>
      <c r="I669" s="398"/>
      <c r="J669" s="400"/>
    </row>
    <row r="670" spans="2:10" s="384" customFormat="1" x14ac:dyDescent="0.2">
      <c r="B670" s="398"/>
      <c r="C670" s="399"/>
      <c r="D670" s="398"/>
      <c r="E670" s="398"/>
      <c r="F670" s="398"/>
      <c r="G670" s="398"/>
      <c r="H670" s="398"/>
      <c r="I670" s="398"/>
      <c r="J670" s="400"/>
    </row>
    <row r="671" spans="2:10" s="384" customFormat="1" x14ac:dyDescent="0.2">
      <c r="B671" s="398"/>
      <c r="C671" s="399"/>
      <c r="D671" s="398"/>
      <c r="E671" s="398"/>
      <c r="F671" s="398"/>
      <c r="G671" s="398"/>
      <c r="H671" s="398"/>
      <c r="I671" s="398"/>
      <c r="J671" s="400"/>
    </row>
    <row r="672" spans="2:10" s="384" customFormat="1" x14ac:dyDescent="0.2">
      <c r="B672" s="398"/>
      <c r="C672" s="399"/>
      <c r="D672" s="398"/>
      <c r="E672" s="398"/>
      <c r="F672" s="398"/>
      <c r="G672" s="398"/>
      <c r="H672" s="398"/>
      <c r="I672" s="398"/>
      <c r="J672" s="400"/>
    </row>
    <row r="673" spans="2:10" s="384" customFormat="1" x14ac:dyDescent="0.2">
      <c r="B673" s="398"/>
      <c r="C673" s="399"/>
      <c r="D673" s="398"/>
      <c r="E673" s="398"/>
      <c r="F673" s="398"/>
      <c r="G673" s="398"/>
      <c r="H673" s="398"/>
      <c r="I673" s="398"/>
      <c r="J673" s="400"/>
    </row>
    <row r="674" spans="2:10" s="384" customFormat="1" x14ac:dyDescent="0.2">
      <c r="B674" s="398"/>
      <c r="C674" s="399"/>
      <c r="D674" s="398"/>
      <c r="E674" s="398"/>
      <c r="F674" s="398"/>
      <c r="G674" s="398"/>
      <c r="H674" s="398"/>
      <c r="I674" s="398"/>
      <c r="J674" s="400"/>
    </row>
    <row r="675" spans="2:10" s="384" customFormat="1" x14ac:dyDescent="0.2">
      <c r="B675" s="398"/>
      <c r="C675" s="399"/>
      <c r="D675" s="398"/>
      <c r="E675" s="398"/>
      <c r="F675" s="398"/>
      <c r="G675" s="398"/>
      <c r="H675" s="398"/>
      <c r="I675" s="398"/>
      <c r="J675" s="400"/>
    </row>
    <row r="676" spans="2:10" s="384" customFormat="1" x14ac:dyDescent="0.2">
      <c r="B676" s="398"/>
      <c r="C676" s="399"/>
      <c r="D676" s="398"/>
      <c r="E676" s="398"/>
      <c r="F676" s="398"/>
      <c r="G676" s="398"/>
      <c r="H676" s="398"/>
      <c r="I676" s="398"/>
      <c r="J676" s="400"/>
    </row>
    <row r="677" spans="2:10" s="384" customFormat="1" x14ac:dyDescent="0.2">
      <c r="B677" s="398"/>
      <c r="C677" s="399"/>
      <c r="D677" s="398"/>
      <c r="E677" s="398"/>
      <c r="F677" s="398"/>
      <c r="G677" s="398"/>
      <c r="H677" s="398"/>
      <c r="I677" s="398"/>
      <c r="J677" s="400"/>
    </row>
    <row r="678" spans="2:10" s="384" customFormat="1" x14ac:dyDescent="0.2">
      <c r="B678" s="398"/>
      <c r="C678" s="399"/>
      <c r="D678" s="398"/>
      <c r="E678" s="398"/>
      <c r="F678" s="398"/>
      <c r="G678" s="398"/>
      <c r="H678" s="398"/>
      <c r="I678" s="398"/>
      <c r="J678" s="400"/>
    </row>
    <row r="679" spans="2:10" s="384" customFormat="1" x14ac:dyDescent="0.2">
      <c r="B679" s="398"/>
      <c r="C679" s="399"/>
      <c r="D679" s="398"/>
      <c r="E679" s="398"/>
      <c r="F679" s="398"/>
      <c r="G679" s="398"/>
      <c r="H679" s="398"/>
      <c r="I679" s="398"/>
      <c r="J679" s="400"/>
    </row>
    <row r="680" spans="2:10" s="384" customFormat="1" x14ac:dyDescent="0.2">
      <c r="B680" s="398"/>
      <c r="C680" s="399"/>
      <c r="D680" s="398"/>
      <c r="E680" s="398"/>
      <c r="F680" s="398"/>
      <c r="G680" s="398"/>
      <c r="H680" s="398"/>
      <c r="I680" s="398"/>
      <c r="J680" s="400"/>
    </row>
    <row r="681" spans="2:10" s="384" customFormat="1" x14ac:dyDescent="0.2">
      <c r="B681" s="398"/>
      <c r="C681" s="399"/>
      <c r="D681" s="398"/>
      <c r="E681" s="398"/>
      <c r="F681" s="398"/>
      <c r="G681" s="398"/>
      <c r="H681" s="398"/>
      <c r="I681" s="398"/>
      <c r="J681" s="400"/>
    </row>
    <row r="682" spans="2:10" s="384" customFormat="1" x14ac:dyDescent="0.2">
      <c r="B682" s="398"/>
      <c r="C682" s="399"/>
      <c r="D682" s="398"/>
      <c r="E682" s="398"/>
      <c r="F682" s="398"/>
      <c r="G682" s="398"/>
      <c r="H682" s="398"/>
      <c r="I682" s="398"/>
      <c r="J682" s="400"/>
    </row>
    <row r="683" spans="2:10" s="384" customFormat="1" x14ac:dyDescent="0.2">
      <c r="B683" s="398"/>
      <c r="C683" s="399"/>
      <c r="D683" s="398"/>
      <c r="E683" s="398"/>
      <c r="F683" s="398"/>
      <c r="G683" s="398"/>
      <c r="H683" s="398"/>
      <c r="I683" s="398"/>
      <c r="J683" s="400"/>
    </row>
    <row r="684" spans="2:10" s="384" customFormat="1" x14ac:dyDescent="0.2">
      <c r="B684" s="398"/>
      <c r="C684" s="399"/>
      <c r="D684" s="398"/>
      <c r="E684" s="398"/>
      <c r="F684" s="398"/>
      <c r="G684" s="398"/>
      <c r="H684" s="398"/>
      <c r="I684" s="398"/>
      <c r="J684" s="400"/>
    </row>
    <row r="685" spans="2:10" s="384" customFormat="1" x14ac:dyDescent="0.2">
      <c r="B685" s="398"/>
      <c r="C685" s="399"/>
      <c r="D685" s="398"/>
      <c r="E685" s="398"/>
      <c r="F685" s="398"/>
      <c r="G685" s="398"/>
      <c r="H685" s="398"/>
      <c r="I685" s="398"/>
      <c r="J685" s="400"/>
    </row>
    <row r="686" spans="2:10" s="384" customFormat="1" x14ac:dyDescent="0.2">
      <c r="B686" s="398"/>
      <c r="C686" s="399"/>
      <c r="D686" s="398"/>
      <c r="E686" s="398"/>
      <c r="F686" s="398"/>
      <c r="G686" s="398"/>
      <c r="H686" s="398"/>
      <c r="I686" s="398"/>
      <c r="J686" s="400"/>
    </row>
    <row r="687" spans="2:10" s="384" customFormat="1" x14ac:dyDescent="0.2">
      <c r="B687" s="398"/>
      <c r="C687" s="399"/>
      <c r="D687" s="398"/>
      <c r="E687" s="398"/>
      <c r="F687" s="398"/>
      <c r="G687" s="398"/>
      <c r="H687" s="398"/>
      <c r="I687" s="398"/>
      <c r="J687" s="400"/>
    </row>
    <row r="688" spans="2:10" s="384" customFormat="1" x14ac:dyDescent="0.2">
      <c r="B688" s="398"/>
      <c r="C688" s="399"/>
      <c r="D688" s="398"/>
      <c r="E688" s="398"/>
      <c r="F688" s="398"/>
      <c r="G688" s="398"/>
      <c r="H688" s="398"/>
      <c r="I688" s="398"/>
      <c r="J688" s="400"/>
    </row>
    <row r="689" spans="2:10" s="384" customFormat="1" x14ac:dyDescent="0.2">
      <c r="B689" s="398"/>
      <c r="C689" s="399"/>
      <c r="D689" s="398"/>
      <c r="E689" s="398"/>
      <c r="F689" s="398"/>
      <c r="G689" s="398"/>
      <c r="H689" s="398"/>
      <c r="I689" s="398"/>
      <c r="J689" s="400"/>
    </row>
    <row r="690" spans="2:10" s="384" customFormat="1" x14ac:dyDescent="0.2">
      <c r="B690" s="398"/>
      <c r="C690" s="399"/>
      <c r="D690" s="398"/>
      <c r="E690" s="398"/>
      <c r="F690" s="398"/>
      <c r="G690" s="398"/>
      <c r="H690" s="398"/>
      <c r="I690" s="398"/>
      <c r="J690" s="400"/>
    </row>
    <row r="691" spans="2:10" s="384" customFormat="1" x14ac:dyDescent="0.2">
      <c r="B691" s="398"/>
      <c r="C691" s="399"/>
      <c r="D691" s="398"/>
      <c r="E691" s="398"/>
      <c r="F691" s="398"/>
      <c r="G691" s="398"/>
      <c r="H691" s="398"/>
      <c r="I691" s="398"/>
      <c r="J691" s="400"/>
    </row>
    <row r="692" spans="2:10" s="384" customFormat="1" x14ac:dyDescent="0.2">
      <c r="B692" s="398"/>
      <c r="C692" s="399"/>
      <c r="D692" s="398"/>
      <c r="E692" s="398"/>
      <c r="F692" s="398"/>
      <c r="G692" s="398"/>
      <c r="H692" s="398"/>
      <c r="I692" s="398"/>
      <c r="J692" s="400"/>
    </row>
    <row r="693" spans="2:10" s="384" customFormat="1" x14ac:dyDescent="0.2">
      <c r="B693" s="398"/>
      <c r="C693" s="399"/>
      <c r="D693" s="398"/>
      <c r="E693" s="398"/>
      <c r="F693" s="398"/>
      <c r="G693" s="398"/>
      <c r="H693" s="398"/>
      <c r="I693" s="398"/>
      <c r="J693" s="400"/>
    </row>
    <row r="694" spans="2:10" s="384" customFormat="1" x14ac:dyDescent="0.2">
      <c r="B694" s="398"/>
      <c r="C694" s="399"/>
      <c r="D694" s="398"/>
      <c r="E694" s="398"/>
      <c r="F694" s="398"/>
      <c r="G694" s="398"/>
      <c r="H694" s="398"/>
      <c r="I694" s="398"/>
      <c r="J694" s="400"/>
    </row>
    <row r="695" spans="2:10" s="384" customFormat="1" x14ac:dyDescent="0.2">
      <c r="B695" s="398"/>
      <c r="C695" s="399"/>
      <c r="D695" s="398"/>
      <c r="E695" s="398"/>
      <c r="F695" s="398"/>
      <c r="G695" s="398"/>
      <c r="H695" s="398"/>
      <c r="I695" s="398"/>
      <c r="J695" s="400"/>
    </row>
    <row r="696" spans="2:10" s="384" customFormat="1" x14ac:dyDescent="0.2">
      <c r="B696" s="398"/>
      <c r="C696" s="399"/>
      <c r="D696" s="398"/>
      <c r="E696" s="398"/>
      <c r="F696" s="398"/>
      <c r="G696" s="398"/>
      <c r="H696" s="398"/>
      <c r="I696" s="398"/>
      <c r="J696" s="400"/>
    </row>
    <row r="697" spans="2:10" s="384" customFormat="1" x14ac:dyDescent="0.2">
      <c r="B697" s="398"/>
      <c r="C697" s="399"/>
      <c r="D697" s="398"/>
      <c r="E697" s="398"/>
      <c r="F697" s="398"/>
      <c r="G697" s="398"/>
      <c r="H697" s="398"/>
      <c r="I697" s="398"/>
      <c r="J697" s="400"/>
    </row>
    <row r="698" spans="2:10" s="384" customFormat="1" x14ac:dyDescent="0.2">
      <c r="B698" s="398"/>
      <c r="C698" s="399"/>
      <c r="D698" s="398"/>
      <c r="E698" s="398"/>
      <c r="F698" s="398"/>
      <c r="G698" s="398"/>
      <c r="H698" s="398"/>
      <c r="I698" s="398"/>
      <c r="J698" s="400"/>
    </row>
    <row r="699" spans="2:10" s="384" customFormat="1" x14ac:dyDescent="0.2">
      <c r="B699" s="398"/>
      <c r="C699" s="399"/>
      <c r="D699" s="398"/>
      <c r="E699" s="398"/>
      <c r="F699" s="398"/>
      <c r="G699" s="398"/>
      <c r="H699" s="398"/>
      <c r="I699" s="398"/>
      <c r="J699" s="400"/>
    </row>
    <row r="700" spans="2:10" s="384" customFormat="1" x14ac:dyDescent="0.2">
      <c r="B700" s="398"/>
      <c r="C700" s="399"/>
      <c r="D700" s="398"/>
      <c r="E700" s="398"/>
      <c r="F700" s="398"/>
      <c r="G700" s="398"/>
      <c r="H700" s="398"/>
      <c r="I700" s="398"/>
      <c r="J700" s="400"/>
    </row>
    <row r="701" spans="2:10" s="384" customFormat="1" x14ac:dyDescent="0.2">
      <c r="B701" s="398"/>
      <c r="C701" s="399"/>
      <c r="D701" s="398"/>
      <c r="E701" s="398"/>
      <c r="F701" s="398"/>
      <c r="G701" s="398"/>
      <c r="H701" s="398"/>
      <c r="I701" s="398"/>
      <c r="J701" s="400"/>
    </row>
    <row r="702" spans="2:10" s="384" customFormat="1" x14ac:dyDescent="0.2">
      <c r="B702" s="398"/>
      <c r="C702" s="399"/>
      <c r="D702" s="398"/>
      <c r="E702" s="398"/>
      <c r="F702" s="398"/>
      <c r="G702" s="398"/>
      <c r="H702" s="398"/>
      <c r="I702" s="398"/>
      <c r="J702" s="400"/>
    </row>
    <row r="703" spans="2:10" s="384" customFormat="1" x14ac:dyDescent="0.2">
      <c r="B703" s="398"/>
      <c r="C703" s="399"/>
      <c r="D703" s="398"/>
      <c r="E703" s="398"/>
      <c r="F703" s="398"/>
      <c r="G703" s="398"/>
      <c r="H703" s="398"/>
      <c r="I703" s="398"/>
      <c r="J703" s="400"/>
    </row>
    <row r="704" spans="2:10" s="384" customFormat="1" x14ac:dyDescent="0.2">
      <c r="B704" s="398"/>
      <c r="C704" s="399"/>
      <c r="D704" s="398"/>
      <c r="E704" s="398"/>
      <c r="F704" s="398"/>
      <c r="G704" s="398"/>
      <c r="H704" s="398"/>
      <c r="I704" s="398"/>
      <c r="J704" s="400"/>
    </row>
    <row r="705" spans="2:10" s="384" customFormat="1" x14ac:dyDescent="0.2">
      <c r="B705" s="398"/>
      <c r="C705" s="399"/>
      <c r="D705" s="398"/>
      <c r="E705" s="398"/>
      <c r="F705" s="398"/>
      <c r="G705" s="398"/>
      <c r="H705" s="398"/>
      <c r="I705" s="398"/>
      <c r="J705" s="400"/>
    </row>
    <row r="706" spans="2:10" s="384" customFormat="1" x14ac:dyDescent="0.2">
      <c r="B706" s="398"/>
      <c r="C706" s="399"/>
      <c r="D706" s="398"/>
      <c r="E706" s="398"/>
      <c r="F706" s="398"/>
      <c r="G706" s="398"/>
      <c r="H706" s="398"/>
      <c r="I706" s="398"/>
      <c r="J706" s="400"/>
    </row>
    <row r="707" spans="2:10" s="384" customFormat="1" x14ac:dyDescent="0.2">
      <c r="B707" s="398"/>
      <c r="C707" s="399"/>
      <c r="D707" s="398"/>
      <c r="E707" s="398"/>
      <c r="F707" s="398"/>
      <c r="G707" s="398"/>
      <c r="H707" s="398"/>
      <c r="I707" s="398"/>
      <c r="J707" s="400"/>
    </row>
    <row r="708" spans="2:10" s="384" customFormat="1" x14ac:dyDescent="0.2">
      <c r="B708" s="398"/>
      <c r="C708" s="399"/>
      <c r="D708" s="398"/>
      <c r="E708" s="398"/>
      <c r="F708" s="398"/>
      <c r="G708" s="398"/>
      <c r="H708" s="398"/>
      <c r="I708" s="398"/>
      <c r="J708" s="400"/>
    </row>
    <row r="709" spans="2:10" s="384" customFormat="1" x14ac:dyDescent="0.2">
      <c r="B709" s="398"/>
      <c r="C709" s="399"/>
      <c r="D709" s="398"/>
      <c r="E709" s="398"/>
      <c r="F709" s="398"/>
      <c r="G709" s="398"/>
      <c r="H709" s="398"/>
      <c r="I709" s="398"/>
      <c r="J709" s="400"/>
    </row>
    <row r="710" spans="2:10" s="384" customFormat="1" x14ac:dyDescent="0.2">
      <c r="B710" s="398"/>
      <c r="C710" s="399"/>
      <c r="D710" s="398"/>
      <c r="E710" s="398"/>
      <c r="F710" s="398"/>
      <c r="G710" s="398"/>
      <c r="H710" s="398"/>
      <c r="I710" s="398"/>
      <c r="J710" s="400"/>
    </row>
    <row r="711" spans="2:10" s="384" customFormat="1" x14ac:dyDescent="0.2">
      <c r="B711" s="398"/>
      <c r="C711" s="399"/>
      <c r="D711" s="398"/>
      <c r="E711" s="398"/>
      <c r="F711" s="398"/>
      <c r="G711" s="398"/>
      <c r="H711" s="398"/>
      <c r="I711" s="398"/>
      <c r="J711" s="400"/>
    </row>
    <row r="712" spans="2:10" s="384" customFormat="1" x14ac:dyDescent="0.2">
      <c r="B712" s="398"/>
      <c r="C712" s="399"/>
      <c r="D712" s="398"/>
      <c r="E712" s="398"/>
      <c r="F712" s="398"/>
      <c r="G712" s="398"/>
      <c r="H712" s="398"/>
      <c r="I712" s="398"/>
      <c r="J712" s="400"/>
    </row>
    <row r="713" spans="2:10" s="384" customFormat="1" x14ac:dyDescent="0.2">
      <c r="B713" s="398"/>
      <c r="C713" s="399"/>
      <c r="D713" s="398"/>
      <c r="E713" s="398"/>
      <c r="F713" s="398"/>
      <c r="G713" s="398"/>
      <c r="H713" s="398"/>
      <c r="I713" s="398"/>
      <c r="J713" s="400"/>
    </row>
    <row r="714" spans="2:10" s="384" customFormat="1" x14ac:dyDescent="0.2">
      <c r="B714" s="398"/>
      <c r="C714" s="399"/>
      <c r="D714" s="398"/>
      <c r="E714" s="398"/>
      <c r="F714" s="398"/>
      <c r="G714" s="398"/>
      <c r="H714" s="398"/>
      <c r="I714" s="398"/>
      <c r="J714" s="400"/>
    </row>
    <row r="715" spans="2:10" s="384" customFormat="1" x14ac:dyDescent="0.2">
      <c r="B715" s="398"/>
      <c r="C715" s="399"/>
      <c r="D715" s="398"/>
      <c r="E715" s="398"/>
      <c r="F715" s="398"/>
      <c r="G715" s="398"/>
      <c r="H715" s="398"/>
      <c r="I715" s="398"/>
      <c r="J715" s="400"/>
    </row>
    <row r="716" spans="2:10" s="384" customFormat="1" x14ac:dyDescent="0.2">
      <c r="B716" s="398"/>
      <c r="C716" s="399"/>
      <c r="D716" s="398"/>
      <c r="E716" s="398"/>
      <c r="F716" s="398"/>
      <c r="G716" s="398"/>
      <c r="H716" s="398"/>
      <c r="I716" s="398"/>
      <c r="J716" s="400"/>
    </row>
    <row r="717" spans="2:10" s="384" customFormat="1" x14ac:dyDescent="0.2">
      <c r="B717" s="398"/>
      <c r="C717" s="399"/>
      <c r="D717" s="398"/>
      <c r="E717" s="398"/>
      <c r="F717" s="398"/>
      <c r="G717" s="398"/>
      <c r="H717" s="398"/>
      <c r="I717" s="398"/>
      <c r="J717" s="400"/>
    </row>
    <row r="718" spans="2:10" s="384" customFormat="1" x14ac:dyDescent="0.2">
      <c r="B718" s="398"/>
      <c r="C718" s="399"/>
      <c r="D718" s="398"/>
      <c r="E718" s="398"/>
      <c r="F718" s="398"/>
      <c r="G718" s="398"/>
      <c r="H718" s="398"/>
      <c r="I718" s="398"/>
      <c r="J718" s="400"/>
    </row>
    <row r="719" spans="2:10" s="384" customFormat="1" x14ac:dyDescent="0.2">
      <c r="B719" s="398"/>
      <c r="C719" s="399"/>
      <c r="D719" s="398"/>
      <c r="E719" s="398"/>
      <c r="F719" s="398"/>
      <c r="G719" s="398"/>
      <c r="H719" s="398"/>
      <c r="I719" s="398"/>
      <c r="J719" s="400"/>
    </row>
    <row r="720" spans="2:10" s="384" customFormat="1" x14ac:dyDescent="0.2">
      <c r="B720" s="398"/>
      <c r="C720" s="399"/>
      <c r="D720" s="398"/>
      <c r="E720" s="398"/>
      <c r="F720" s="398"/>
      <c r="G720" s="398"/>
      <c r="H720" s="398"/>
      <c r="I720" s="398"/>
      <c r="J720" s="400"/>
    </row>
    <row r="721" spans="2:10" s="384" customFormat="1" x14ac:dyDescent="0.2">
      <c r="B721" s="398"/>
      <c r="C721" s="399"/>
      <c r="D721" s="398"/>
      <c r="E721" s="398"/>
      <c r="F721" s="398"/>
      <c r="G721" s="398"/>
      <c r="H721" s="398"/>
      <c r="I721" s="398"/>
      <c r="J721" s="400"/>
    </row>
    <row r="722" spans="2:10" s="384" customFormat="1" x14ac:dyDescent="0.2">
      <c r="B722" s="398"/>
      <c r="C722" s="399"/>
      <c r="D722" s="398"/>
      <c r="E722" s="398"/>
      <c r="F722" s="398"/>
      <c r="G722" s="398"/>
      <c r="H722" s="398"/>
      <c r="I722" s="398"/>
      <c r="J722" s="400"/>
    </row>
    <row r="723" spans="2:10" s="384" customFormat="1" x14ac:dyDescent="0.2">
      <c r="B723" s="398"/>
      <c r="C723" s="399"/>
      <c r="D723" s="398"/>
      <c r="E723" s="398"/>
      <c r="F723" s="398"/>
      <c r="G723" s="398"/>
      <c r="H723" s="398"/>
      <c r="I723" s="398"/>
      <c r="J723" s="400"/>
    </row>
    <row r="724" spans="2:10" s="384" customFormat="1" x14ac:dyDescent="0.2">
      <c r="B724" s="398"/>
      <c r="C724" s="399"/>
      <c r="D724" s="398"/>
      <c r="E724" s="398"/>
      <c r="F724" s="398"/>
      <c r="G724" s="398"/>
      <c r="H724" s="398"/>
      <c r="I724" s="398"/>
      <c r="J724" s="400"/>
    </row>
    <row r="725" spans="2:10" s="384" customFormat="1" x14ac:dyDescent="0.2">
      <c r="B725" s="398"/>
      <c r="C725" s="399"/>
      <c r="D725" s="398"/>
      <c r="E725" s="398"/>
      <c r="F725" s="398"/>
      <c r="G725" s="398"/>
      <c r="H725" s="398"/>
      <c r="I725" s="398"/>
      <c r="J725" s="400"/>
    </row>
    <row r="726" spans="2:10" s="384" customFormat="1" x14ac:dyDescent="0.2">
      <c r="B726" s="398"/>
      <c r="C726" s="399"/>
      <c r="D726" s="398"/>
      <c r="E726" s="398"/>
      <c r="F726" s="398"/>
      <c r="G726" s="398"/>
      <c r="H726" s="398"/>
      <c r="I726" s="398"/>
      <c r="J726" s="400"/>
    </row>
    <row r="727" spans="2:10" s="384" customFormat="1" x14ac:dyDescent="0.2">
      <c r="B727" s="398"/>
      <c r="C727" s="399"/>
      <c r="D727" s="398"/>
      <c r="E727" s="398"/>
      <c r="F727" s="398"/>
      <c r="G727" s="398"/>
      <c r="H727" s="398"/>
      <c r="I727" s="398"/>
      <c r="J727" s="400"/>
    </row>
    <row r="728" spans="2:10" s="384" customFormat="1" x14ac:dyDescent="0.2">
      <c r="B728" s="398"/>
      <c r="C728" s="399"/>
      <c r="D728" s="398"/>
      <c r="E728" s="398"/>
      <c r="F728" s="398"/>
      <c r="G728" s="398"/>
      <c r="H728" s="398"/>
      <c r="I728" s="398"/>
      <c r="J728" s="400"/>
    </row>
    <row r="729" spans="2:10" s="384" customFormat="1" x14ac:dyDescent="0.2">
      <c r="B729" s="398"/>
      <c r="C729" s="399"/>
      <c r="D729" s="398"/>
      <c r="E729" s="398"/>
      <c r="F729" s="398"/>
      <c r="G729" s="398"/>
      <c r="H729" s="398"/>
      <c r="I729" s="398"/>
      <c r="J729" s="400"/>
    </row>
    <row r="730" spans="2:10" s="384" customFormat="1" x14ac:dyDescent="0.2">
      <c r="B730" s="398"/>
      <c r="C730" s="399"/>
      <c r="D730" s="398"/>
      <c r="E730" s="398"/>
      <c r="F730" s="398"/>
      <c r="G730" s="398"/>
      <c r="H730" s="398"/>
      <c r="I730" s="398"/>
      <c r="J730" s="400"/>
    </row>
    <row r="731" spans="2:10" s="384" customFormat="1" x14ac:dyDescent="0.2">
      <c r="B731" s="398"/>
      <c r="C731" s="399"/>
      <c r="D731" s="398"/>
      <c r="E731" s="398"/>
      <c r="F731" s="398"/>
      <c r="G731" s="398"/>
      <c r="H731" s="398"/>
      <c r="I731" s="398"/>
      <c r="J731" s="400"/>
    </row>
    <row r="732" spans="2:10" s="384" customFormat="1" x14ac:dyDescent="0.2">
      <c r="B732" s="398"/>
      <c r="C732" s="399"/>
      <c r="D732" s="398"/>
      <c r="E732" s="398"/>
      <c r="F732" s="398"/>
      <c r="G732" s="398"/>
      <c r="H732" s="398"/>
      <c r="I732" s="398"/>
      <c r="J732" s="400"/>
    </row>
    <row r="733" spans="2:10" s="384" customFormat="1" x14ac:dyDescent="0.2">
      <c r="B733" s="398"/>
      <c r="C733" s="399"/>
      <c r="D733" s="398"/>
      <c r="E733" s="398"/>
      <c r="F733" s="398"/>
      <c r="G733" s="398"/>
      <c r="H733" s="398"/>
      <c r="I733" s="398"/>
      <c r="J733" s="400"/>
    </row>
    <row r="734" spans="2:10" s="384" customFormat="1" x14ac:dyDescent="0.2">
      <c r="B734" s="398"/>
      <c r="C734" s="399"/>
      <c r="D734" s="398"/>
      <c r="E734" s="398"/>
      <c r="F734" s="398"/>
      <c r="G734" s="398"/>
      <c r="H734" s="398"/>
      <c r="I734" s="398"/>
      <c r="J734" s="400"/>
    </row>
    <row r="735" spans="2:10" s="384" customFormat="1" x14ac:dyDescent="0.2">
      <c r="B735" s="398"/>
      <c r="C735" s="399"/>
      <c r="D735" s="398"/>
      <c r="E735" s="398"/>
      <c r="F735" s="398"/>
      <c r="G735" s="398"/>
      <c r="H735" s="398"/>
      <c r="I735" s="398"/>
      <c r="J735" s="400"/>
    </row>
    <row r="736" spans="2:10" s="384" customFormat="1" x14ac:dyDescent="0.2">
      <c r="B736" s="398"/>
      <c r="C736" s="399"/>
      <c r="D736" s="398"/>
      <c r="E736" s="398"/>
      <c r="F736" s="398"/>
      <c r="G736" s="398"/>
      <c r="H736" s="398"/>
      <c r="I736" s="398"/>
      <c r="J736" s="400"/>
    </row>
    <row r="737" spans="2:10" s="384" customFormat="1" x14ac:dyDescent="0.2">
      <c r="B737" s="398"/>
      <c r="C737" s="399"/>
      <c r="D737" s="398"/>
      <c r="E737" s="398"/>
      <c r="F737" s="398"/>
      <c r="G737" s="398"/>
      <c r="H737" s="398"/>
      <c r="I737" s="398"/>
      <c r="J737" s="400"/>
    </row>
    <row r="738" spans="2:10" s="384" customFormat="1" x14ac:dyDescent="0.2">
      <c r="B738" s="398"/>
      <c r="C738" s="399"/>
      <c r="D738" s="398"/>
      <c r="E738" s="398"/>
      <c r="F738" s="398"/>
      <c r="G738" s="398"/>
      <c r="H738" s="398"/>
      <c r="I738" s="398"/>
      <c r="J738" s="400"/>
    </row>
    <row r="739" spans="2:10" s="384" customFormat="1" x14ac:dyDescent="0.2">
      <c r="B739" s="398"/>
      <c r="C739" s="399"/>
      <c r="D739" s="398"/>
      <c r="E739" s="398"/>
      <c r="F739" s="398"/>
      <c r="G739" s="398"/>
      <c r="H739" s="398"/>
      <c r="I739" s="398"/>
      <c r="J739" s="400"/>
    </row>
    <row r="740" spans="2:10" s="384" customFormat="1" x14ac:dyDescent="0.2">
      <c r="B740" s="398"/>
      <c r="C740" s="399"/>
      <c r="D740" s="398"/>
      <c r="E740" s="398"/>
      <c r="F740" s="398"/>
      <c r="G740" s="398"/>
      <c r="H740" s="398"/>
      <c r="I740" s="398"/>
      <c r="J740" s="400"/>
    </row>
    <row r="741" spans="2:10" s="384" customFormat="1" x14ac:dyDescent="0.2">
      <c r="B741" s="398"/>
      <c r="C741" s="399"/>
      <c r="D741" s="398"/>
      <c r="E741" s="398"/>
      <c r="F741" s="398"/>
      <c r="G741" s="398"/>
      <c r="H741" s="398"/>
      <c r="I741" s="398"/>
      <c r="J741" s="400"/>
    </row>
    <row r="742" spans="2:10" s="384" customFormat="1" x14ac:dyDescent="0.2">
      <c r="B742" s="398"/>
      <c r="C742" s="399"/>
      <c r="D742" s="398"/>
      <c r="E742" s="398"/>
      <c r="F742" s="398"/>
      <c r="G742" s="398"/>
      <c r="H742" s="398"/>
      <c r="I742" s="398"/>
      <c r="J742" s="400"/>
    </row>
    <row r="743" spans="2:10" s="384" customFormat="1" x14ac:dyDescent="0.2">
      <c r="B743" s="398"/>
      <c r="C743" s="399"/>
      <c r="D743" s="398"/>
      <c r="E743" s="398"/>
      <c r="F743" s="398"/>
      <c r="G743" s="398"/>
      <c r="H743" s="398"/>
      <c r="I743" s="398"/>
      <c r="J743" s="400"/>
    </row>
    <row r="744" spans="2:10" s="384" customFormat="1" x14ac:dyDescent="0.2">
      <c r="B744" s="398"/>
      <c r="C744" s="399"/>
      <c r="D744" s="398"/>
      <c r="E744" s="398"/>
      <c r="F744" s="398"/>
      <c r="G744" s="398"/>
      <c r="H744" s="398"/>
      <c r="I744" s="398"/>
      <c r="J744" s="400"/>
    </row>
    <row r="745" spans="2:10" s="384" customFormat="1" x14ac:dyDescent="0.2">
      <c r="B745" s="398"/>
      <c r="C745" s="399"/>
      <c r="D745" s="398"/>
      <c r="E745" s="398"/>
      <c r="F745" s="398"/>
      <c r="G745" s="398"/>
      <c r="H745" s="398"/>
      <c r="I745" s="398"/>
      <c r="J745" s="400"/>
    </row>
    <row r="746" spans="2:10" s="384" customFormat="1" x14ac:dyDescent="0.2">
      <c r="B746" s="398"/>
      <c r="C746" s="399"/>
      <c r="D746" s="398"/>
      <c r="E746" s="398"/>
      <c r="F746" s="398"/>
      <c r="G746" s="398"/>
      <c r="H746" s="398"/>
      <c r="I746" s="398"/>
      <c r="J746" s="400"/>
    </row>
    <row r="747" spans="2:10" s="384" customFormat="1" x14ac:dyDescent="0.2">
      <c r="B747" s="398"/>
      <c r="C747" s="399"/>
      <c r="D747" s="398"/>
      <c r="E747" s="398"/>
      <c r="F747" s="398"/>
      <c r="G747" s="398"/>
      <c r="H747" s="398"/>
      <c r="I747" s="398"/>
      <c r="J747" s="400"/>
    </row>
    <row r="748" spans="2:10" s="384" customFormat="1" x14ac:dyDescent="0.2">
      <c r="B748" s="398"/>
      <c r="C748" s="399"/>
      <c r="D748" s="398"/>
      <c r="E748" s="398"/>
      <c r="F748" s="398"/>
      <c r="G748" s="398"/>
      <c r="H748" s="398"/>
      <c r="I748" s="398"/>
      <c r="J748" s="400"/>
    </row>
    <row r="749" spans="2:10" s="384" customFormat="1" x14ac:dyDescent="0.2">
      <c r="B749" s="398"/>
      <c r="C749" s="399"/>
      <c r="D749" s="398"/>
      <c r="E749" s="398"/>
      <c r="F749" s="398"/>
      <c r="G749" s="398"/>
      <c r="H749" s="398"/>
      <c r="I749" s="398"/>
      <c r="J749" s="400"/>
    </row>
    <row r="750" spans="2:10" s="384" customFormat="1" x14ac:dyDescent="0.2">
      <c r="B750" s="398"/>
      <c r="C750" s="399"/>
      <c r="D750" s="398"/>
      <c r="E750" s="398"/>
      <c r="F750" s="398"/>
      <c r="G750" s="398"/>
      <c r="H750" s="398"/>
      <c r="I750" s="398"/>
      <c r="J750" s="400"/>
    </row>
    <row r="751" spans="2:10" s="384" customFormat="1" x14ac:dyDescent="0.2">
      <c r="B751" s="398"/>
      <c r="C751" s="399"/>
      <c r="D751" s="398"/>
      <c r="E751" s="398"/>
      <c r="F751" s="398"/>
      <c r="G751" s="398"/>
      <c r="H751" s="398"/>
      <c r="I751" s="398"/>
      <c r="J751" s="400"/>
    </row>
    <row r="752" spans="2:10" s="384" customFormat="1" x14ac:dyDescent="0.2">
      <c r="B752" s="398"/>
      <c r="C752" s="399"/>
      <c r="D752" s="398"/>
      <c r="E752" s="398"/>
      <c r="F752" s="398"/>
      <c r="G752" s="398"/>
      <c r="H752" s="398"/>
      <c r="I752" s="398"/>
      <c r="J752" s="400"/>
    </row>
    <row r="753" spans="2:10" s="384" customFormat="1" x14ac:dyDescent="0.2">
      <c r="B753" s="398"/>
      <c r="C753" s="399"/>
      <c r="D753" s="398"/>
      <c r="E753" s="398"/>
      <c r="F753" s="398"/>
      <c r="G753" s="398"/>
      <c r="H753" s="398"/>
      <c r="I753" s="398"/>
      <c r="J753" s="400"/>
    </row>
    <row r="754" spans="2:10" s="384" customFormat="1" x14ac:dyDescent="0.2">
      <c r="B754" s="398"/>
      <c r="C754" s="399"/>
      <c r="D754" s="398"/>
      <c r="E754" s="398"/>
      <c r="F754" s="398"/>
      <c r="G754" s="398"/>
      <c r="H754" s="398"/>
      <c r="I754" s="398"/>
      <c r="J754" s="400"/>
    </row>
    <row r="755" spans="2:10" s="384" customFormat="1" x14ac:dyDescent="0.2">
      <c r="B755" s="398"/>
      <c r="C755" s="399"/>
      <c r="D755" s="398"/>
      <c r="E755" s="398"/>
      <c r="F755" s="398"/>
      <c r="G755" s="398"/>
      <c r="H755" s="398"/>
      <c r="I755" s="398"/>
      <c r="J755" s="400"/>
    </row>
    <row r="756" spans="2:10" s="384" customFormat="1" x14ac:dyDescent="0.2">
      <c r="B756" s="398"/>
      <c r="C756" s="399"/>
      <c r="D756" s="398"/>
      <c r="E756" s="398"/>
      <c r="F756" s="398"/>
      <c r="G756" s="398"/>
      <c r="H756" s="398"/>
      <c r="I756" s="398"/>
      <c r="J756" s="400"/>
    </row>
    <row r="757" spans="2:10" s="384" customFormat="1" x14ac:dyDescent="0.2">
      <c r="B757" s="398"/>
      <c r="C757" s="399"/>
      <c r="D757" s="398"/>
      <c r="E757" s="398"/>
      <c r="F757" s="398"/>
      <c r="G757" s="398"/>
      <c r="H757" s="398"/>
      <c r="I757" s="398"/>
      <c r="J757" s="400"/>
    </row>
    <row r="758" spans="2:10" s="384" customFormat="1" x14ac:dyDescent="0.2">
      <c r="B758" s="398"/>
      <c r="C758" s="399"/>
      <c r="D758" s="398"/>
      <c r="E758" s="398"/>
      <c r="F758" s="398"/>
      <c r="G758" s="398"/>
      <c r="H758" s="398"/>
      <c r="I758" s="398"/>
      <c r="J758" s="400"/>
    </row>
    <row r="759" spans="2:10" s="384" customFormat="1" x14ac:dyDescent="0.2">
      <c r="B759" s="398"/>
      <c r="C759" s="399"/>
      <c r="D759" s="398"/>
      <c r="E759" s="398"/>
      <c r="F759" s="398"/>
      <c r="G759" s="398"/>
      <c r="H759" s="398"/>
      <c r="I759" s="398"/>
      <c r="J759" s="400"/>
    </row>
    <row r="760" spans="2:10" s="384" customFormat="1" x14ac:dyDescent="0.2">
      <c r="B760" s="398"/>
      <c r="C760" s="399"/>
      <c r="D760" s="398"/>
      <c r="E760" s="398"/>
      <c r="F760" s="398"/>
      <c r="G760" s="398"/>
      <c r="H760" s="398"/>
      <c r="I760" s="398"/>
      <c r="J760" s="400"/>
    </row>
    <row r="761" spans="2:10" s="384" customFormat="1" x14ac:dyDescent="0.2">
      <c r="B761" s="398"/>
      <c r="C761" s="399"/>
      <c r="D761" s="398"/>
      <c r="E761" s="398"/>
      <c r="F761" s="398"/>
      <c r="G761" s="398"/>
      <c r="H761" s="398"/>
      <c r="I761" s="398"/>
      <c r="J761" s="400"/>
    </row>
    <row r="762" spans="2:10" s="384" customFormat="1" x14ac:dyDescent="0.2">
      <c r="B762" s="398"/>
      <c r="C762" s="399"/>
      <c r="D762" s="398"/>
      <c r="E762" s="398"/>
      <c r="F762" s="398"/>
      <c r="G762" s="398"/>
      <c r="H762" s="398"/>
      <c r="I762" s="398"/>
      <c r="J762" s="400"/>
    </row>
    <row r="763" spans="2:10" s="384" customFormat="1" x14ac:dyDescent="0.2">
      <c r="B763" s="398"/>
      <c r="C763" s="399"/>
      <c r="D763" s="398"/>
      <c r="E763" s="398"/>
      <c r="F763" s="398"/>
      <c r="G763" s="398"/>
      <c r="H763" s="398"/>
      <c r="I763" s="398"/>
      <c r="J763" s="400"/>
    </row>
    <row r="764" spans="2:10" s="384" customFormat="1" x14ac:dyDescent="0.2">
      <c r="B764" s="398"/>
      <c r="C764" s="399"/>
      <c r="D764" s="398"/>
      <c r="E764" s="398"/>
      <c r="F764" s="398"/>
      <c r="G764" s="398"/>
      <c r="H764" s="398"/>
      <c r="I764" s="398"/>
      <c r="J764" s="400"/>
    </row>
    <row r="765" spans="2:10" s="384" customFormat="1" x14ac:dyDescent="0.2">
      <c r="B765" s="398"/>
      <c r="C765" s="399"/>
      <c r="D765" s="398"/>
      <c r="E765" s="398"/>
      <c r="F765" s="398"/>
      <c r="G765" s="398"/>
      <c r="H765" s="398"/>
      <c r="I765" s="398"/>
      <c r="J765" s="400"/>
    </row>
    <row r="766" spans="2:10" s="384" customFormat="1" x14ac:dyDescent="0.2">
      <c r="B766" s="398"/>
      <c r="C766" s="399"/>
      <c r="D766" s="398"/>
      <c r="E766" s="398"/>
      <c r="F766" s="398"/>
      <c r="G766" s="398"/>
      <c r="H766" s="398"/>
      <c r="I766" s="398"/>
      <c r="J766" s="400"/>
    </row>
    <row r="767" spans="2:10" s="384" customFormat="1" x14ac:dyDescent="0.2">
      <c r="B767" s="398"/>
      <c r="C767" s="399"/>
      <c r="D767" s="398"/>
      <c r="E767" s="398"/>
      <c r="F767" s="398"/>
      <c r="G767" s="398"/>
      <c r="H767" s="398"/>
      <c r="I767" s="398"/>
      <c r="J767" s="400"/>
    </row>
    <row r="768" spans="2:10" s="384" customFormat="1" x14ac:dyDescent="0.2">
      <c r="B768" s="398"/>
      <c r="C768" s="399"/>
      <c r="D768" s="398"/>
      <c r="E768" s="398"/>
      <c r="F768" s="398"/>
      <c r="G768" s="398"/>
      <c r="H768" s="398"/>
      <c r="I768" s="398"/>
      <c r="J768" s="400"/>
    </row>
    <row r="769" spans="2:10" s="384" customFormat="1" x14ac:dyDescent="0.2">
      <c r="B769" s="398"/>
      <c r="C769" s="399"/>
      <c r="D769" s="398"/>
      <c r="E769" s="398"/>
      <c r="F769" s="398"/>
      <c r="G769" s="398"/>
      <c r="H769" s="398"/>
      <c r="I769" s="398"/>
      <c r="J769" s="400"/>
    </row>
    <row r="770" spans="2:10" s="384" customFormat="1" x14ac:dyDescent="0.2">
      <c r="B770" s="398"/>
      <c r="C770" s="399"/>
      <c r="D770" s="398"/>
      <c r="E770" s="398"/>
      <c r="F770" s="398"/>
      <c r="G770" s="398"/>
      <c r="H770" s="398"/>
      <c r="I770" s="398"/>
      <c r="J770" s="400"/>
    </row>
    <row r="771" spans="2:10" s="384" customFormat="1" x14ac:dyDescent="0.2">
      <c r="B771" s="398"/>
      <c r="C771" s="399"/>
      <c r="D771" s="398"/>
      <c r="E771" s="398"/>
      <c r="F771" s="398"/>
      <c r="G771" s="398"/>
      <c r="H771" s="398"/>
      <c r="I771" s="398"/>
      <c r="J771" s="400"/>
    </row>
    <row r="772" spans="2:10" s="384" customFormat="1" x14ac:dyDescent="0.2">
      <c r="B772" s="398"/>
      <c r="C772" s="399"/>
      <c r="D772" s="398"/>
      <c r="E772" s="398"/>
      <c r="F772" s="398"/>
      <c r="G772" s="398"/>
      <c r="H772" s="398"/>
      <c r="I772" s="398"/>
      <c r="J772" s="400"/>
    </row>
    <row r="773" spans="2:10" s="384" customFormat="1" x14ac:dyDescent="0.2">
      <c r="B773" s="398"/>
      <c r="C773" s="399"/>
      <c r="D773" s="398"/>
      <c r="E773" s="398"/>
      <c r="F773" s="398"/>
      <c r="G773" s="398"/>
      <c r="H773" s="398"/>
      <c r="I773" s="398"/>
      <c r="J773" s="400"/>
    </row>
    <row r="774" spans="2:10" s="384" customFormat="1" x14ac:dyDescent="0.2">
      <c r="B774" s="398"/>
      <c r="C774" s="399"/>
      <c r="D774" s="398"/>
      <c r="E774" s="398"/>
      <c r="F774" s="398"/>
      <c r="G774" s="398"/>
      <c r="H774" s="398"/>
      <c r="I774" s="398"/>
      <c r="J774" s="400"/>
    </row>
    <row r="775" spans="2:10" s="384" customFormat="1" x14ac:dyDescent="0.2">
      <c r="B775" s="398"/>
      <c r="C775" s="399"/>
      <c r="D775" s="398"/>
      <c r="E775" s="398"/>
      <c r="F775" s="398"/>
      <c r="G775" s="398"/>
      <c r="H775" s="398"/>
      <c r="I775" s="398"/>
      <c r="J775" s="400"/>
    </row>
    <row r="776" spans="2:10" s="384" customFormat="1" x14ac:dyDescent="0.2">
      <c r="B776" s="398"/>
      <c r="C776" s="399"/>
      <c r="D776" s="398"/>
      <c r="E776" s="398"/>
      <c r="F776" s="398"/>
      <c r="G776" s="398"/>
      <c r="H776" s="398"/>
      <c r="I776" s="398"/>
      <c r="J776" s="400"/>
    </row>
    <row r="777" spans="2:10" s="384" customFormat="1" x14ac:dyDescent="0.2">
      <c r="B777" s="398"/>
      <c r="C777" s="399"/>
      <c r="D777" s="398"/>
      <c r="E777" s="398"/>
      <c r="F777" s="398"/>
      <c r="G777" s="398"/>
      <c r="H777" s="398"/>
      <c r="I777" s="398"/>
      <c r="J777" s="400"/>
    </row>
    <row r="778" spans="2:10" s="384" customFormat="1" x14ac:dyDescent="0.2">
      <c r="B778" s="398"/>
      <c r="C778" s="399"/>
      <c r="D778" s="398"/>
      <c r="E778" s="398"/>
      <c r="F778" s="398"/>
      <c r="G778" s="398"/>
      <c r="H778" s="398"/>
      <c r="I778" s="398"/>
      <c r="J778" s="400"/>
    </row>
    <row r="779" spans="2:10" s="384" customFormat="1" x14ac:dyDescent="0.2">
      <c r="B779" s="398"/>
      <c r="C779" s="399"/>
      <c r="D779" s="398"/>
      <c r="E779" s="398"/>
      <c r="F779" s="398"/>
      <c r="G779" s="398"/>
      <c r="H779" s="398"/>
      <c r="I779" s="398"/>
      <c r="J779" s="400"/>
    </row>
    <row r="780" spans="2:10" s="384" customFormat="1" x14ac:dyDescent="0.2">
      <c r="B780" s="398"/>
      <c r="C780" s="399"/>
      <c r="D780" s="398"/>
      <c r="E780" s="398"/>
      <c r="F780" s="398"/>
      <c r="G780" s="398"/>
      <c r="H780" s="398"/>
      <c r="I780" s="398"/>
      <c r="J780" s="400"/>
    </row>
    <row r="781" spans="2:10" s="384" customFormat="1" x14ac:dyDescent="0.2">
      <c r="B781" s="398"/>
      <c r="C781" s="399"/>
      <c r="D781" s="398"/>
      <c r="E781" s="398"/>
      <c r="F781" s="398"/>
      <c r="G781" s="398"/>
      <c r="H781" s="398"/>
      <c r="I781" s="398"/>
      <c r="J781" s="400"/>
    </row>
    <row r="782" spans="2:10" s="384" customFormat="1" x14ac:dyDescent="0.2">
      <c r="B782" s="398"/>
      <c r="C782" s="399"/>
      <c r="D782" s="398"/>
      <c r="E782" s="398"/>
      <c r="F782" s="398"/>
      <c r="G782" s="398"/>
      <c r="H782" s="398"/>
      <c r="I782" s="398"/>
      <c r="J782" s="400"/>
    </row>
    <row r="783" spans="2:10" s="384" customFormat="1" x14ac:dyDescent="0.2">
      <c r="B783" s="398"/>
      <c r="C783" s="399"/>
      <c r="D783" s="398"/>
      <c r="E783" s="398"/>
      <c r="F783" s="398"/>
      <c r="G783" s="398"/>
      <c r="H783" s="398"/>
      <c r="I783" s="398"/>
      <c r="J783" s="400"/>
    </row>
    <row r="784" spans="2:10" s="384" customFormat="1" x14ac:dyDescent="0.2">
      <c r="B784" s="398"/>
      <c r="C784" s="399"/>
      <c r="D784" s="398"/>
      <c r="E784" s="398"/>
      <c r="F784" s="398"/>
      <c r="G784" s="398"/>
      <c r="H784" s="398"/>
      <c r="I784" s="398"/>
      <c r="J784" s="400"/>
    </row>
    <row r="785" spans="2:10" s="384" customFormat="1" x14ac:dyDescent="0.2">
      <c r="B785" s="398"/>
      <c r="C785" s="399"/>
      <c r="D785" s="398"/>
      <c r="E785" s="398"/>
      <c r="F785" s="398"/>
      <c r="G785" s="398"/>
      <c r="H785" s="398"/>
      <c r="I785" s="398"/>
      <c r="J785" s="400"/>
    </row>
    <row r="786" spans="2:10" s="384" customFormat="1" x14ac:dyDescent="0.2">
      <c r="B786" s="398"/>
      <c r="C786" s="399"/>
      <c r="D786" s="398"/>
      <c r="E786" s="398"/>
      <c r="F786" s="398"/>
      <c r="G786" s="398"/>
      <c r="H786" s="398"/>
      <c r="I786" s="398"/>
      <c r="J786" s="400"/>
    </row>
    <row r="787" spans="2:10" s="384" customFormat="1" x14ac:dyDescent="0.2">
      <c r="B787" s="398"/>
      <c r="C787" s="399"/>
      <c r="D787" s="398"/>
      <c r="E787" s="398"/>
      <c r="F787" s="398"/>
      <c r="G787" s="398"/>
      <c r="H787" s="398"/>
      <c r="I787" s="398"/>
      <c r="J787" s="400"/>
    </row>
    <row r="788" spans="2:10" s="384" customFormat="1" x14ac:dyDescent="0.2">
      <c r="B788" s="398"/>
      <c r="C788" s="399"/>
      <c r="D788" s="398"/>
      <c r="E788" s="398"/>
      <c r="F788" s="398"/>
      <c r="G788" s="398"/>
      <c r="H788" s="398"/>
      <c r="I788" s="398"/>
      <c r="J788" s="400"/>
    </row>
    <row r="789" spans="2:10" s="384" customFormat="1" x14ac:dyDescent="0.2">
      <c r="B789" s="398"/>
      <c r="C789" s="399"/>
      <c r="D789" s="398"/>
      <c r="E789" s="398"/>
      <c r="F789" s="398"/>
      <c r="G789" s="398"/>
      <c r="H789" s="398"/>
      <c r="I789" s="398"/>
      <c r="J789" s="400"/>
    </row>
    <row r="790" spans="2:10" s="384" customFormat="1" x14ac:dyDescent="0.2">
      <c r="B790" s="398"/>
      <c r="C790" s="399"/>
      <c r="D790" s="398"/>
      <c r="E790" s="398"/>
      <c r="F790" s="398"/>
      <c r="G790" s="398"/>
      <c r="H790" s="398"/>
      <c r="I790" s="398"/>
      <c r="J790" s="400"/>
    </row>
    <row r="791" spans="2:10" s="384" customFormat="1" x14ac:dyDescent="0.2">
      <c r="B791" s="398"/>
      <c r="C791" s="399"/>
      <c r="D791" s="398"/>
      <c r="E791" s="398"/>
      <c r="F791" s="398"/>
      <c r="G791" s="398"/>
      <c r="H791" s="398"/>
      <c r="I791" s="398"/>
      <c r="J791" s="400"/>
    </row>
    <row r="792" spans="2:10" s="384" customFormat="1" x14ac:dyDescent="0.2">
      <c r="B792" s="398"/>
      <c r="C792" s="399"/>
      <c r="D792" s="398"/>
      <c r="E792" s="398"/>
      <c r="F792" s="398"/>
      <c r="G792" s="398"/>
      <c r="H792" s="398"/>
      <c r="I792" s="398"/>
      <c r="J792" s="400"/>
    </row>
    <row r="793" spans="2:10" s="384" customFormat="1" x14ac:dyDescent="0.2">
      <c r="B793" s="398"/>
      <c r="C793" s="399"/>
      <c r="D793" s="398"/>
      <c r="E793" s="398"/>
      <c r="F793" s="398"/>
      <c r="G793" s="398"/>
      <c r="H793" s="398"/>
      <c r="I793" s="398"/>
      <c r="J793" s="400"/>
    </row>
    <row r="794" spans="2:10" s="384" customFormat="1" x14ac:dyDescent="0.2">
      <c r="B794" s="398"/>
      <c r="C794" s="399"/>
      <c r="D794" s="398"/>
      <c r="E794" s="398"/>
      <c r="F794" s="398"/>
      <c r="G794" s="398"/>
      <c r="H794" s="398"/>
      <c r="I794" s="398"/>
      <c r="J794" s="400"/>
    </row>
    <row r="795" spans="2:10" s="384" customFormat="1" x14ac:dyDescent="0.2">
      <c r="B795" s="398"/>
      <c r="C795" s="399"/>
      <c r="D795" s="398"/>
      <c r="E795" s="398"/>
      <c r="F795" s="398"/>
      <c r="G795" s="398"/>
      <c r="H795" s="398"/>
      <c r="I795" s="398"/>
      <c r="J795" s="400"/>
    </row>
    <row r="796" spans="2:10" s="384" customFormat="1" x14ac:dyDescent="0.2">
      <c r="B796" s="398"/>
      <c r="C796" s="399"/>
      <c r="D796" s="398"/>
      <c r="E796" s="398"/>
      <c r="F796" s="398"/>
      <c r="G796" s="398"/>
      <c r="H796" s="398"/>
      <c r="I796" s="398"/>
      <c r="J796" s="400"/>
    </row>
    <row r="797" spans="2:10" s="384" customFormat="1" x14ac:dyDescent="0.2">
      <c r="B797" s="398"/>
      <c r="C797" s="399"/>
      <c r="D797" s="398"/>
      <c r="E797" s="398"/>
      <c r="F797" s="398"/>
      <c r="G797" s="398"/>
      <c r="H797" s="398"/>
      <c r="I797" s="398"/>
      <c r="J797" s="400"/>
    </row>
    <row r="798" spans="2:10" s="384" customFormat="1" x14ac:dyDescent="0.2">
      <c r="B798" s="398"/>
      <c r="C798" s="399"/>
      <c r="D798" s="398"/>
      <c r="E798" s="398"/>
      <c r="F798" s="398"/>
      <c r="G798" s="398"/>
      <c r="H798" s="398"/>
      <c r="I798" s="398"/>
      <c r="J798" s="400"/>
    </row>
    <row r="799" spans="2:10" s="384" customFormat="1" x14ac:dyDescent="0.2">
      <c r="B799" s="398"/>
      <c r="C799" s="399"/>
      <c r="D799" s="398"/>
      <c r="E799" s="398"/>
      <c r="F799" s="398"/>
      <c r="G799" s="398"/>
      <c r="H799" s="398"/>
      <c r="I799" s="398"/>
      <c r="J799" s="400"/>
    </row>
    <row r="800" spans="2:10" s="384" customFormat="1" x14ac:dyDescent="0.2">
      <c r="B800" s="398"/>
      <c r="C800" s="399"/>
      <c r="D800" s="398"/>
      <c r="E800" s="398"/>
      <c r="F800" s="398"/>
      <c r="G800" s="398"/>
      <c r="H800" s="398"/>
      <c r="I800" s="398"/>
      <c r="J800" s="400"/>
    </row>
    <row r="801" spans="2:10" s="384" customFormat="1" x14ac:dyDescent="0.2">
      <c r="B801" s="398"/>
      <c r="C801" s="399"/>
      <c r="D801" s="398"/>
      <c r="E801" s="398"/>
      <c r="F801" s="398"/>
      <c r="G801" s="398"/>
      <c r="H801" s="398"/>
      <c r="I801" s="398"/>
      <c r="J801" s="400"/>
    </row>
    <row r="802" spans="2:10" s="384" customFormat="1" x14ac:dyDescent="0.2">
      <c r="B802" s="398"/>
      <c r="C802" s="399"/>
      <c r="D802" s="398"/>
      <c r="E802" s="398"/>
      <c r="F802" s="398"/>
      <c r="G802" s="398"/>
      <c r="H802" s="398"/>
      <c r="I802" s="398"/>
      <c r="J802" s="400"/>
    </row>
    <row r="803" spans="2:10" s="384" customFormat="1" x14ac:dyDescent="0.2">
      <c r="B803" s="398"/>
      <c r="C803" s="399"/>
      <c r="D803" s="398"/>
      <c r="E803" s="398"/>
      <c r="F803" s="398"/>
      <c r="G803" s="398"/>
      <c r="H803" s="398"/>
      <c r="I803" s="398"/>
      <c r="J803" s="400"/>
    </row>
    <row r="804" spans="2:10" s="384" customFormat="1" x14ac:dyDescent="0.2">
      <c r="B804" s="398"/>
      <c r="C804" s="399"/>
      <c r="D804" s="398"/>
      <c r="E804" s="398"/>
      <c r="F804" s="398"/>
      <c r="G804" s="398"/>
      <c r="H804" s="398"/>
      <c r="I804" s="398"/>
      <c r="J804" s="400"/>
    </row>
    <row r="805" spans="2:10" s="384" customFormat="1" x14ac:dyDescent="0.2">
      <c r="B805" s="398"/>
      <c r="C805" s="399"/>
      <c r="D805" s="398"/>
      <c r="E805" s="398"/>
      <c r="F805" s="398"/>
      <c r="G805" s="398"/>
      <c r="H805" s="398"/>
      <c r="I805" s="398"/>
      <c r="J805" s="400"/>
    </row>
    <row r="806" spans="2:10" s="384" customFormat="1" x14ac:dyDescent="0.2">
      <c r="B806" s="398"/>
      <c r="C806" s="399"/>
      <c r="D806" s="398"/>
      <c r="E806" s="398"/>
      <c r="F806" s="398"/>
      <c r="G806" s="398"/>
      <c r="H806" s="398"/>
      <c r="I806" s="398"/>
      <c r="J806" s="400"/>
    </row>
    <row r="807" spans="2:10" s="384" customFormat="1" x14ac:dyDescent="0.2">
      <c r="B807" s="398"/>
      <c r="C807" s="399"/>
      <c r="D807" s="398"/>
      <c r="E807" s="398"/>
      <c r="F807" s="398"/>
      <c r="G807" s="398"/>
      <c r="H807" s="398"/>
      <c r="I807" s="398"/>
      <c r="J807" s="400"/>
    </row>
    <row r="808" spans="2:10" s="384" customFormat="1" x14ac:dyDescent="0.2">
      <c r="B808" s="398"/>
      <c r="C808" s="399"/>
      <c r="D808" s="398"/>
      <c r="E808" s="398"/>
      <c r="F808" s="398"/>
      <c r="G808" s="398"/>
      <c r="H808" s="398"/>
      <c r="I808" s="398"/>
      <c r="J808" s="400"/>
    </row>
    <row r="809" spans="2:10" s="384" customFormat="1" x14ac:dyDescent="0.2">
      <c r="B809" s="398"/>
      <c r="C809" s="399"/>
      <c r="D809" s="398"/>
      <c r="E809" s="398"/>
      <c r="F809" s="398"/>
      <c r="G809" s="398"/>
      <c r="H809" s="398"/>
      <c r="I809" s="398"/>
      <c r="J809" s="400"/>
    </row>
    <row r="810" spans="2:10" s="384" customFormat="1" x14ac:dyDescent="0.2">
      <c r="B810" s="398"/>
      <c r="C810" s="399"/>
      <c r="D810" s="398"/>
      <c r="E810" s="398"/>
      <c r="F810" s="398"/>
      <c r="G810" s="398"/>
      <c r="H810" s="398"/>
      <c r="I810" s="398"/>
      <c r="J810" s="400"/>
    </row>
    <row r="811" spans="2:10" s="384" customFormat="1" x14ac:dyDescent="0.2">
      <c r="B811" s="398"/>
      <c r="C811" s="399"/>
      <c r="D811" s="398"/>
      <c r="E811" s="398"/>
      <c r="F811" s="398"/>
      <c r="G811" s="398"/>
      <c r="H811" s="398"/>
      <c r="I811" s="398"/>
      <c r="J811" s="400"/>
    </row>
    <row r="812" spans="2:10" s="384" customFormat="1" x14ac:dyDescent="0.2">
      <c r="B812" s="398"/>
      <c r="C812" s="399"/>
      <c r="D812" s="398"/>
      <c r="E812" s="398"/>
      <c r="F812" s="398"/>
      <c r="G812" s="398"/>
      <c r="H812" s="398"/>
      <c r="I812" s="398"/>
      <c r="J812" s="400"/>
    </row>
    <row r="813" spans="2:10" s="384" customFormat="1" x14ac:dyDescent="0.2">
      <c r="B813" s="398"/>
      <c r="C813" s="399"/>
      <c r="D813" s="398"/>
      <c r="E813" s="398"/>
      <c r="F813" s="398"/>
      <c r="G813" s="398"/>
      <c r="H813" s="398"/>
      <c r="I813" s="398"/>
      <c r="J813" s="400"/>
    </row>
    <row r="814" spans="2:10" s="384" customFormat="1" x14ac:dyDescent="0.2">
      <c r="B814" s="398"/>
      <c r="C814" s="399"/>
      <c r="D814" s="398"/>
      <c r="E814" s="398"/>
      <c r="F814" s="398"/>
      <c r="G814" s="398"/>
      <c r="H814" s="398"/>
      <c r="I814" s="398"/>
      <c r="J814" s="400"/>
    </row>
    <row r="815" spans="2:10" s="384" customFormat="1" x14ac:dyDescent="0.2">
      <c r="B815" s="398"/>
      <c r="C815" s="399"/>
      <c r="D815" s="398"/>
      <c r="E815" s="398"/>
      <c r="F815" s="398"/>
      <c r="G815" s="398"/>
      <c r="H815" s="398"/>
      <c r="I815" s="398"/>
      <c r="J815" s="400"/>
    </row>
    <row r="816" spans="2:10" s="384" customFormat="1" x14ac:dyDescent="0.2">
      <c r="B816" s="398"/>
      <c r="C816" s="399"/>
      <c r="D816" s="398"/>
      <c r="E816" s="398"/>
      <c r="F816" s="398"/>
      <c r="G816" s="398"/>
      <c r="H816" s="398"/>
      <c r="I816" s="398"/>
      <c r="J816" s="400"/>
    </row>
    <row r="817" spans="2:10" s="384" customFormat="1" x14ac:dyDescent="0.2">
      <c r="B817" s="398"/>
      <c r="C817" s="399"/>
      <c r="D817" s="398"/>
      <c r="E817" s="398"/>
      <c r="F817" s="398"/>
      <c r="G817" s="398"/>
      <c r="H817" s="398"/>
      <c r="I817" s="398"/>
      <c r="J817" s="400"/>
    </row>
    <row r="818" spans="2:10" s="384" customFormat="1" x14ac:dyDescent="0.2">
      <c r="B818" s="398"/>
      <c r="C818" s="399"/>
      <c r="D818" s="398"/>
      <c r="E818" s="398"/>
      <c r="F818" s="398"/>
      <c r="G818" s="398"/>
      <c r="H818" s="398"/>
      <c r="I818" s="398"/>
      <c r="J818" s="400"/>
    </row>
    <row r="819" spans="2:10" s="384" customFormat="1" x14ac:dyDescent="0.2">
      <c r="B819" s="398"/>
      <c r="C819" s="399"/>
      <c r="D819" s="398"/>
      <c r="E819" s="398"/>
      <c r="F819" s="398"/>
      <c r="G819" s="398"/>
      <c r="H819" s="398"/>
      <c r="I819" s="398"/>
      <c r="J819" s="400"/>
    </row>
    <row r="820" spans="2:10" s="384" customFormat="1" x14ac:dyDescent="0.2">
      <c r="B820" s="398"/>
      <c r="C820" s="399"/>
      <c r="D820" s="398"/>
      <c r="E820" s="398"/>
      <c r="F820" s="398"/>
      <c r="G820" s="398"/>
      <c r="H820" s="398"/>
      <c r="I820" s="398"/>
      <c r="J820" s="400"/>
    </row>
    <row r="821" spans="2:10" s="384" customFormat="1" x14ac:dyDescent="0.2">
      <c r="B821" s="398"/>
      <c r="C821" s="399"/>
      <c r="D821" s="398"/>
      <c r="E821" s="398"/>
      <c r="F821" s="398"/>
      <c r="G821" s="398"/>
      <c r="H821" s="398"/>
      <c r="I821" s="398"/>
      <c r="J821" s="400"/>
    </row>
  </sheetData>
  <mergeCells count="188">
    <mergeCell ref="Q19:Q20"/>
    <mergeCell ref="R19:R20"/>
    <mergeCell ref="S19:S20"/>
    <mergeCell ref="K36:S36"/>
    <mergeCell ref="A55:I55"/>
    <mergeCell ref="A11:Q11"/>
    <mergeCell ref="A12:B12"/>
    <mergeCell ref="A13:A14"/>
    <mergeCell ref="B13:B14"/>
    <mergeCell ref="D13:D14"/>
    <mergeCell ref="E13:F14"/>
    <mergeCell ref="G13:G14"/>
    <mergeCell ref="H13:I13"/>
    <mergeCell ref="K13:K14"/>
    <mergeCell ref="L13:L14"/>
    <mergeCell ref="M13:M14"/>
    <mergeCell ref="N13:N14"/>
    <mergeCell ref="A15:A17"/>
    <mergeCell ref="G16:G17"/>
    <mergeCell ref="N16:N17"/>
    <mergeCell ref="O16:O17"/>
    <mergeCell ref="P16:P17"/>
    <mergeCell ref="Q16:Q17"/>
    <mergeCell ref="A20:A23"/>
    <mergeCell ref="A31:A33"/>
    <mergeCell ref="B31:B33"/>
    <mergeCell ref="C31:C33"/>
    <mergeCell ref="D31:D33"/>
    <mergeCell ref="E31:F33"/>
    <mergeCell ref="G31:G33"/>
    <mergeCell ref="H31:H33"/>
    <mergeCell ref="H27:H28"/>
    <mergeCell ref="I27:I28"/>
    <mergeCell ref="A26:A28"/>
    <mergeCell ref="G27:G28"/>
    <mergeCell ref="B26:B30"/>
    <mergeCell ref="C26:C30"/>
    <mergeCell ref="D26:D30"/>
    <mergeCell ref="E26:F30"/>
    <mergeCell ref="I31:I33"/>
    <mergeCell ref="O23:O24"/>
    <mergeCell ref="M30:M31"/>
    <mergeCell ref="N30:N31"/>
    <mergeCell ref="O30:O31"/>
    <mergeCell ref="Q37:Q38"/>
    <mergeCell ref="G22:G23"/>
    <mergeCell ref="H22:H23"/>
    <mergeCell ref="O37:O38"/>
    <mergeCell ref="P37:P38"/>
    <mergeCell ref="Q34:Q35"/>
    <mergeCell ref="Q23:Q24"/>
    <mergeCell ref="Q25:Q26"/>
    <mergeCell ref="P32:P33"/>
    <mergeCell ref="Q32:Q33"/>
    <mergeCell ref="L34:L35"/>
    <mergeCell ref="M34:M35"/>
    <mergeCell ref="B15:B19"/>
    <mergeCell ref="B20:B25"/>
    <mergeCell ref="C20:C25"/>
    <mergeCell ref="D20:D25"/>
    <mergeCell ref="H20:H21"/>
    <mergeCell ref="E20:F25"/>
    <mergeCell ref="P23:P24"/>
    <mergeCell ref="C35:C36"/>
    <mergeCell ref="K32:K33"/>
    <mergeCell ref="O34:O35"/>
    <mergeCell ref="P34:P35"/>
    <mergeCell ref="N34:N35"/>
    <mergeCell ref="K19:K20"/>
    <mergeCell ref="L19:L20"/>
    <mergeCell ref="M19:M20"/>
    <mergeCell ref="N19:N20"/>
    <mergeCell ref="O19:O20"/>
    <mergeCell ref="P19:P20"/>
    <mergeCell ref="M23:M24"/>
    <mergeCell ref="N23:N24"/>
    <mergeCell ref="H16:H17"/>
    <mergeCell ref="I16:I17"/>
    <mergeCell ref="K16:K17"/>
    <mergeCell ref="L16:L17"/>
    <mergeCell ref="B48:G49"/>
    <mergeCell ref="H48:I49"/>
    <mergeCell ref="B43:G43"/>
    <mergeCell ref="H43:I43"/>
    <mergeCell ref="B44:G44"/>
    <mergeCell ref="H44:I44"/>
    <mergeCell ref="B42:G42"/>
    <mergeCell ref="H42:I42"/>
    <mergeCell ref="K34:K35"/>
    <mergeCell ref="A41:I41"/>
    <mergeCell ref="B39:B40"/>
    <mergeCell ref="C39:C40"/>
    <mergeCell ref="D35:D40"/>
    <mergeCell ref="E35:F40"/>
    <mergeCell ref="C37:C38"/>
    <mergeCell ref="K47:Q47"/>
    <mergeCell ref="P39:P40"/>
    <mergeCell ref="Q39:Q40"/>
    <mergeCell ref="N39:N40"/>
    <mergeCell ref="O39:O40"/>
    <mergeCell ref="M39:M40"/>
    <mergeCell ref="J56:K56"/>
    <mergeCell ref="L56:M56"/>
    <mergeCell ref="E57:F57"/>
    <mergeCell ref="H57:I57"/>
    <mergeCell ref="J57:K57"/>
    <mergeCell ref="L57:M57"/>
    <mergeCell ref="C15:C19"/>
    <mergeCell ref="D15:D19"/>
    <mergeCell ref="E15:F19"/>
    <mergeCell ref="A51:I51"/>
    <mergeCell ref="A52:I54"/>
    <mergeCell ref="B45:G45"/>
    <mergeCell ref="H45:I45"/>
    <mergeCell ref="B46:G46"/>
    <mergeCell ref="H46:I46"/>
    <mergeCell ref="B47:G47"/>
    <mergeCell ref="A56:B57"/>
    <mergeCell ref="E56:F56"/>
    <mergeCell ref="H56:I56"/>
    <mergeCell ref="L39:L40"/>
    <mergeCell ref="K39:K40"/>
    <mergeCell ref="A39:A40"/>
    <mergeCell ref="A50:I50"/>
    <mergeCell ref="A48:A49"/>
    <mergeCell ref="M16:M17"/>
    <mergeCell ref="G20:G21"/>
    <mergeCell ref="N37:N38"/>
    <mergeCell ref="K37:K38"/>
    <mergeCell ref="L37:L38"/>
    <mergeCell ref="M37:M38"/>
    <mergeCell ref="L21:L22"/>
    <mergeCell ref="I20:I21"/>
    <mergeCell ref="I22:I23"/>
    <mergeCell ref="K23:K24"/>
    <mergeCell ref="N25:N26"/>
    <mergeCell ref="M25:M26"/>
    <mergeCell ref="L32:L33"/>
    <mergeCell ref="M32:M33"/>
    <mergeCell ref="N32:N33"/>
    <mergeCell ref="R21:R22"/>
    <mergeCell ref="K46:M46"/>
    <mergeCell ref="N46:O46"/>
    <mergeCell ref="L43:N43"/>
    <mergeCell ref="L44:N45"/>
    <mergeCell ref="O44:O45"/>
    <mergeCell ref="K44:K45"/>
    <mergeCell ref="K21:K22"/>
    <mergeCell ref="P25:P26"/>
    <mergeCell ref="L25:L26"/>
    <mergeCell ref="K25:K26"/>
    <mergeCell ref="Q30:Q31"/>
    <mergeCell ref="O25:O26"/>
    <mergeCell ref="K30:K31"/>
    <mergeCell ref="L30:L31"/>
    <mergeCell ref="K28:K29"/>
    <mergeCell ref="L28:L29"/>
    <mergeCell ref="Q28:Q29"/>
    <mergeCell ref="P28:P29"/>
    <mergeCell ref="O28:O29"/>
    <mergeCell ref="N28:N29"/>
    <mergeCell ref="M28:M29"/>
    <mergeCell ref="P30:P31"/>
    <mergeCell ref="O32:O33"/>
    <mergeCell ref="S39:S40"/>
    <mergeCell ref="K42:S42"/>
    <mergeCell ref="O13:S13"/>
    <mergeCell ref="P43:S43"/>
    <mergeCell ref="P44:S45"/>
    <mergeCell ref="P46:S46"/>
    <mergeCell ref="S16:S17"/>
    <mergeCell ref="S37:S38"/>
    <mergeCell ref="S21:S22"/>
    <mergeCell ref="S23:S24"/>
    <mergeCell ref="S25:S26"/>
    <mergeCell ref="S28:S29"/>
    <mergeCell ref="S30:S31"/>
    <mergeCell ref="S32:S33"/>
    <mergeCell ref="S34:S35"/>
    <mergeCell ref="R16:R17"/>
    <mergeCell ref="R37:R38"/>
    <mergeCell ref="R23:R24"/>
    <mergeCell ref="R25:R26"/>
    <mergeCell ref="R28:R29"/>
    <mergeCell ref="R30:R31"/>
    <mergeCell ref="R32:R33"/>
    <mergeCell ref="R34:R35"/>
    <mergeCell ref="R39:R40"/>
  </mergeCells>
  <printOptions horizontalCentered="1"/>
  <pageMargins left="0" right="0" top="0" bottom="0" header="0" footer="0"/>
  <pageSetup paperSize="9" scale="10" orientation="landscape" r:id="rId1"/>
  <headerFooter alignWithMargins="0">
    <oddFooter>&amp;R&amp;36Стр. &amp;P из  &amp;N&amp;48
&amp;A</oddFooter>
  </headerFooter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2"/>
  <dimension ref="A1:E94"/>
  <sheetViews>
    <sheetView zoomScale="50" zoomScaleNormal="50" zoomScaleSheetLayoutView="40" zoomScalePageLayoutView="55" workbookViewId="0">
      <selection sqref="A1:C2"/>
    </sheetView>
  </sheetViews>
  <sheetFormatPr defaultRowHeight="11.25" x14ac:dyDescent="0.2"/>
  <cols>
    <col min="1" max="1" width="28.42578125" style="398" customWidth="1"/>
    <col min="2" max="2" width="121.85546875" style="398" customWidth="1"/>
    <col min="3" max="3" width="26.5703125" style="398" customWidth="1"/>
    <col min="4" max="4" width="27.28515625" style="398" customWidth="1"/>
    <col min="5" max="5" width="35.42578125" style="398" customWidth="1"/>
    <col min="6" max="16384" width="9.140625" style="398"/>
  </cols>
  <sheetData>
    <row r="1" spans="1:5" x14ac:dyDescent="0.2">
      <c r="A1" s="3629"/>
      <c r="B1" s="3629"/>
      <c r="C1" s="3629"/>
      <c r="D1" s="3629"/>
      <c r="E1" s="3629"/>
    </row>
    <row r="2" spans="1:5" x14ac:dyDescent="0.2">
      <c r="A2" s="3629"/>
      <c r="B2" s="3629"/>
      <c r="C2" s="3629"/>
      <c r="D2" s="3629"/>
      <c r="E2" s="3629"/>
    </row>
    <row r="3" spans="1:5" x14ac:dyDescent="0.2">
      <c r="A3" s="3629"/>
      <c r="B3" s="3629"/>
      <c r="C3" s="3629"/>
      <c r="D3" s="3629"/>
      <c r="E3" s="3629"/>
    </row>
    <row r="4" spans="1:5" x14ac:dyDescent="0.2">
      <c r="A4" s="3629"/>
      <c r="B4" s="3629"/>
      <c r="C4" s="3629"/>
      <c r="D4" s="3629"/>
      <c r="E4" s="3629"/>
    </row>
    <row r="5" spans="1:5" x14ac:dyDescent="0.2">
      <c r="A5" s="3629"/>
      <c r="B5" s="3629"/>
      <c r="C5" s="3629"/>
      <c r="D5" s="3629"/>
      <c r="E5" s="3629"/>
    </row>
    <row r="6" spans="1:5" x14ac:dyDescent="0.2">
      <c r="A6" s="3629"/>
      <c r="B6" s="3629"/>
      <c r="C6" s="3629"/>
      <c r="D6" s="3629"/>
      <c r="E6" s="3629"/>
    </row>
    <row r="7" spans="1:5" x14ac:dyDescent="0.2">
      <c r="A7" s="3629"/>
      <c r="B7" s="3629"/>
      <c r="C7" s="3629"/>
      <c r="D7" s="3629"/>
      <c r="E7" s="3629"/>
    </row>
    <row r="8" spans="1:5" x14ac:dyDescent="0.2">
      <c r="A8" s="3629"/>
      <c r="B8" s="3629"/>
      <c r="C8" s="3629"/>
      <c r="D8" s="3629"/>
      <c r="E8" s="3629"/>
    </row>
    <row r="9" spans="1:5" ht="18.75" customHeight="1" thickBot="1" x14ac:dyDescent="0.25">
      <c r="A9" s="3630"/>
      <c r="B9" s="3630"/>
      <c r="C9" s="3630"/>
      <c r="D9" s="3630"/>
      <c r="E9" s="3630"/>
    </row>
    <row r="10" spans="1:5" ht="27.75" x14ac:dyDescent="0.35">
      <c r="B10" s="414" t="s">
        <v>843</v>
      </c>
      <c r="C10" s="3656" t="s">
        <v>844</v>
      </c>
      <c r="D10" s="3656"/>
      <c r="E10" s="3656"/>
    </row>
    <row r="11" spans="1:5" ht="23.25" x14ac:dyDescent="0.2">
      <c r="A11" s="3657" t="s">
        <v>845</v>
      </c>
      <c r="B11" s="3657"/>
      <c r="C11" s="3657"/>
      <c r="D11" s="3657"/>
      <c r="E11" s="3657"/>
    </row>
    <row r="12" spans="1:5" ht="23.25" x14ac:dyDescent="0.2">
      <c r="A12" s="415" t="s">
        <v>702</v>
      </c>
      <c r="B12" s="416" t="s">
        <v>399</v>
      </c>
      <c r="C12" s="417" t="s">
        <v>104</v>
      </c>
      <c r="D12" s="417" t="s">
        <v>802</v>
      </c>
      <c r="E12" s="418" t="s">
        <v>803</v>
      </c>
    </row>
    <row r="13" spans="1:5" s="420" customFormat="1" ht="38.25" customHeight="1" x14ac:dyDescent="0.2">
      <c r="A13" s="3658"/>
      <c r="B13" s="3659" t="s">
        <v>846</v>
      </c>
      <c r="C13" s="419" t="s">
        <v>107</v>
      </c>
      <c r="D13" s="419" t="s">
        <v>806</v>
      </c>
      <c r="E13" s="3661">
        <f>ROUND(2500*(1-$E$93),2)</f>
        <v>2500</v>
      </c>
    </row>
    <row r="14" spans="1:5" ht="36.75" customHeight="1" x14ac:dyDescent="0.2">
      <c r="A14" s="3658"/>
      <c r="B14" s="3660"/>
      <c r="C14" s="419" t="s">
        <v>107</v>
      </c>
      <c r="D14" s="419" t="s">
        <v>825</v>
      </c>
      <c r="E14" s="3662"/>
    </row>
    <row r="15" spans="1:5" ht="27.75" x14ac:dyDescent="0.35">
      <c r="B15" s="421" t="s">
        <v>847</v>
      </c>
      <c r="C15" s="3655" t="s">
        <v>848</v>
      </c>
      <c r="D15" s="3655"/>
      <c r="E15" s="3655"/>
    </row>
    <row r="16" spans="1:5" s="422" customFormat="1" ht="23.25" x14ac:dyDescent="0.35">
      <c r="A16" s="3651" t="s">
        <v>845</v>
      </c>
      <c r="B16" s="3651"/>
      <c r="C16" s="3651"/>
      <c r="D16" s="3651"/>
      <c r="E16" s="3651"/>
    </row>
    <row r="17" spans="1:5" s="422" customFormat="1" ht="23.25" x14ac:dyDescent="0.2">
      <c r="A17" s="415" t="s">
        <v>702</v>
      </c>
      <c r="B17" s="416" t="s">
        <v>399</v>
      </c>
      <c r="C17" s="417" t="s">
        <v>104</v>
      </c>
      <c r="D17" s="417" t="s">
        <v>802</v>
      </c>
      <c r="E17" s="418" t="s">
        <v>803</v>
      </c>
    </row>
    <row r="18" spans="1:5" s="422" customFormat="1" ht="23.25" x14ac:dyDescent="0.2">
      <c r="A18" s="3648"/>
      <c r="B18" s="3632" t="s">
        <v>849</v>
      </c>
      <c r="C18" s="419" t="s">
        <v>107</v>
      </c>
      <c r="D18" s="419" t="s">
        <v>806</v>
      </c>
      <c r="E18" s="3635">
        <f>ROUND(4345*(1-$C$93),2)</f>
        <v>4345</v>
      </c>
    </row>
    <row r="19" spans="1:5" s="422" customFormat="1" ht="23.25" x14ac:dyDescent="0.2">
      <c r="A19" s="3648"/>
      <c r="B19" s="3633"/>
      <c r="C19" s="419" t="s">
        <v>107</v>
      </c>
      <c r="D19" s="419" t="s">
        <v>850</v>
      </c>
      <c r="E19" s="3636"/>
    </row>
    <row r="20" spans="1:5" s="422" customFormat="1" ht="23.25" x14ac:dyDescent="0.2">
      <c r="A20" s="3648"/>
      <c r="B20" s="3634"/>
      <c r="C20" s="419" t="s">
        <v>107</v>
      </c>
      <c r="D20" s="419" t="s">
        <v>825</v>
      </c>
      <c r="E20" s="3637"/>
    </row>
    <row r="21" spans="1:5" s="422" customFormat="1" ht="23.25" x14ac:dyDescent="0.2">
      <c r="A21" s="3648"/>
      <c r="B21" s="3632" t="s">
        <v>851</v>
      </c>
      <c r="C21" s="419" t="s">
        <v>107</v>
      </c>
      <c r="D21" s="419" t="s">
        <v>825</v>
      </c>
      <c r="E21" s="3635">
        <f>ROUND(4950*(1-$C$93),2)</f>
        <v>4950</v>
      </c>
    </row>
    <row r="22" spans="1:5" s="422" customFormat="1" ht="23.25" x14ac:dyDescent="0.2">
      <c r="A22" s="3648"/>
      <c r="B22" s="3633"/>
      <c r="C22" s="419" t="s">
        <v>107</v>
      </c>
      <c r="D22" s="419" t="s">
        <v>806</v>
      </c>
      <c r="E22" s="3636"/>
    </row>
    <row r="23" spans="1:5" s="422" customFormat="1" ht="23.25" x14ac:dyDescent="0.2">
      <c r="A23" s="3648"/>
      <c r="B23" s="3634"/>
      <c r="C23" s="419" t="s">
        <v>107</v>
      </c>
      <c r="D23" s="419" t="s">
        <v>850</v>
      </c>
      <c r="E23" s="3637"/>
    </row>
    <row r="24" spans="1:5" s="422" customFormat="1" ht="23.25" x14ac:dyDescent="0.2">
      <c r="A24" s="3648"/>
      <c r="B24" s="3632" t="s">
        <v>852</v>
      </c>
      <c r="C24" s="419" t="s">
        <v>107</v>
      </c>
      <c r="D24" s="419" t="s">
        <v>825</v>
      </c>
      <c r="E24" s="3652">
        <f>ROUND(4345*(1-$C$93),2)</f>
        <v>4345</v>
      </c>
    </row>
    <row r="25" spans="1:5" s="422" customFormat="1" ht="23.25" x14ac:dyDescent="0.2">
      <c r="A25" s="3648"/>
      <c r="B25" s="3633"/>
      <c r="C25" s="419" t="s">
        <v>107</v>
      </c>
      <c r="D25" s="419" t="s">
        <v>806</v>
      </c>
      <c r="E25" s="3653"/>
    </row>
    <row r="26" spans="1:5" s="422" customFormat="1" ht="23.25" x14ac:dyDescent="0.2">
      <c r="A26" s="3648"/>
      <c r="B26" s="3634"/>
      <c r="C26" s="419" t="s">
        <v>107</v>
      </c>
      <c r="D26" s="419" t="s">
        <v>850</v>
      </c>
      <c r="E26" s="3654"/>
    </row>
    <row r="27" spans="1:5" s="422" customFormat="1" ht="23.25" x14ac:dyDescent="0.2">
      <c r="A27" s="3648"/>
      <c r="B27" s="3632" t="s">
        <v>853</v>
      </c>
      <c r="C27" s="419" t="s">
        <v>107</v>
      </c>
      <c r="D27" s="419" t="s">
        <v>825</v>
      </c>
      <c r="E27" s="3635">
        <f>ROUND(4950*(1-$C$93),2)</f>
        <v>4950</v>
      </c>
    </row>
    <row r="28" spans="1:5" s="422" customFormat="1" ht="23.25" x14ac:dyDescent="0.2">
      <c r="A28" s="3648"/>
      <c r="B28" s="3633"/>
      <c r="C28" s="419" t="s">
        <v>107</v>
      </c>
      <c r="D28" s="419" t="s">
        <v>806</v>
      </c>
      <c r="E28" s="3636"/>
    </row>
    <row r="29" spans="1:5" s="422" customFormat="1" ht="23.25" x14ac:dyDescent="0.2">
      <c r="A29" s="3648"/>
      <c r="B29" s="3634"/>
      <c r="C29" s="419" t="s">
        <v>107</v>
      </c>
      <c r="D29" s="419" t="s">
        <v>850</v>
      </c>
      <c r="E29" s="3637"/>
    </row>
    <row r="30" spans="1:5" s="422" customFormat="1" ht="23.25" x14ac:dyDescent="0.2">
      <c r="A30" s="3648"/>
      <c r="B30" s="3632" t="s">
        <v>854</v>
      </c>
      <c r="C30" s="419" t="s">
        <v>107</v>
      </c>
      <c r="D30" s="419" t="s">
        <v>825</v>
      </c>
      <c r="E30" s="3635">
        <f>ROUND(1320*(1-$C$93),2)</f>
        <v>1320</v>
      </c>
    </row>
    <row r="31" spans="1:5" s="422" customFormat="1" ht="23.25" x14ac:dyDescent="0.2">
      <c r="A31" s="3648"/>
      <c r="B31" s="3633"/>
      <c r="C31" s="419" t="s">
        <v>107</v>
      </c>
      <c r="D31" s="419" t="s">
        <v>806</v>
      </c>
      <c r="E31" s="3636"/>
    </row>
    <row r="32" spans="1:5" s="422" customFormat="1" ht="23.25" x14ac:dyDescent="0.2">
      <c r="A32" s="3648"/>
      <c r="B32" s="3634"/>
      <c r="C32" s="419" t="s">
        <v>107</v>
      </c>
      <c r="D32" s="419" t="s">
        <v>850</v>
      </c>
      <c r="E32" s="3637"/>
    </row>
    <row r="33" spans="1:5" s="422" customFormat="1" ht="23.25" x14ac:dyDescent="0.2">
      <c r="A33" s="3648"/>
      <c r="B33" s="3632" t="s">
        <v>855</v>
      </c>
      <c r="C33" s="419" t="s">
        <v>107</v>
      </c>
      <c r="D33" s="419" t="s">
        <v>825</v>
      </c>
      <c r="E33" s="3635">
        <f>ROUND(1430*(1-$C$93),2)</f>
        <v>1430</v>
      </c>
    </row>
    <row r="34" spans="1:5" s="422" customFormat="1" ht="23.25" x14ac:dyDescent="0.2">
      <c r="A34" s="3648"/>
      <c r="B34" s="3633"/>
      <c r="C34" s="419" t="s">
        <v>107</v>
      </c>
      <c r="D34" s="419" t="s">
        <v>806</v>
      </c>
      <c r="E34" s="3636"/>
    </row>
    <row r="35" spans="1:5" s="422" customFormat="1" ht="23.25" x14ac:dyDescent="0.2">
      <c r="A35" s="3648"/>
      <c r="B35" s="3634"/>
      <c r="C35" s="419" t="s">
        <v>107</v>
      </c>
      <c r="D35" s="419" t="s">
        <v>850</v>
      </c>
      <c r="E35" s="3637"/>
    </row>
    <row r="36" spans="1:5" s="422" customFormat="1" ht="23.25" x14ac:dyDescent="0.2">
      <c r="A36" s="3648"/>
      <c r="B36" s="3632" t="s">
        <v>856</v>
      </c>
      <c r="C36" s="419" t="s">
        <v>107</v>
      </c>
      <c r="D36" s="419" t="s">
        <v>825</v>
      </c>
      <c r="E36" s="3635">
        <f>ROUND(990*(1-$C$93),2)</f>
        <v>990</v>
      </c>
    </row>
    <row r="37" spans="1:5" s="422" customFormat="1" ht="23.25" x14ac:dyDescent="0.2">
      <c r="A37" s="3648"/>
      <c r="B37" s="3633"/>
      <c r="C37" s="419" t="s">
        <v>107</v>
      </c>
      <c r="D37" s="419" t="s">
        <v>806</v>
      </c>
      <c r="E37" s="3636"/>
    </row>
    <row r="38" spans="1:5" s="422" customFormat="1" ht="23.25" x14ac:dyDescent="0.2">
      <c r="A38" s="3648"/>
      <c r="B38" s="3634"/>
      <c r="C38" s="419" t="s">
        <v>107</v>
      </c>
      <c r="D38" s="419" t="s">
        <v>850</v>
      </c>
      <c r="E38" s="3637"/>
    </row>
    <row r="39" spans="1:5" s="422" customFormat="1" ht="23.25" x14ac:dyDescent="0.35">
      <c r="A39" s="3649" t="s">
        <v>857</v>
      </c>
      <c r="B39" s="3649"/>
      <c r="C39" s="3649"/>
      <c r="D39" s="3649"/>
      <c r="E39" s="3650"/>
    </row>
    <row r="40" spans="1:5" s="422" customFormat="1" ht="23.25" x14ac:dyDescent="0.35">
      <c r="A40" s="3631"/>
      <c r="B40" s="3632" t="s">
        <v>858</v>
      </c>
      <c r="C40" s="419" t="s">
        <v>859</v>
      </c>
      <c r="D40" s="423" t="s">
        <v>825</v>
      </c>
      <c r="E40" s="3635">
        <f>ROUND(3435*(1-$C$93),2)</f>
        <v>3435</v>
      </c>
    </row>
    <row r="41" spans="1:5" s="422" customFormat="1" ht="23.25" x14ac:dyDescent="0.2">
      <c r="A41" s="3631"/>
      <c r="B41" s="3633"/>
      <c r="C41" s="419" t="s">
        <v>859</v>
      </c>
      <c r="D41" s="419" t="s">
        <v>806</v>
      </c>
      <c r="E41" s="3636"/>
    </row>
    <row r="42" spans="1:5" s="422" customFormat="1" ht="23.25" x14ac:dyDescent="0.2">
      <c r="A42" s="3631"/>
      <c r="B42" s="3634"/>
      <c r="C42" s="419" t="s">
        <v>859</v>
      </c>
      <c r="D42" s="419" t="s">
        <v>850</v>
      </c>
      <c r="E42" s="3637"/>
    </row>
    <row r="43" spans="1:5" s="422" customFormat="1" ht="23.25" x14ac:dyDescent="0.2">
      <c r="A43" s="3631"/>
      <c r="B43" s="3632" t="s">
        <v>860</v>
      </c>
      <c r="C43" s="419" t="s">
        <v>859</v>
      </c>
      <c r="D43" s="419" t="s">
        <v>825</v>
      </c>
      <c r="E43" s="3645">
        <f>ROUND(3520*(1-C93),2)</f>
        <v>3520</v>
      </c>
    </row>
    <row r="44" spans="1:5" s="422" customFormat="1" ht="23.25" x14ac:dyDescent="0.2">
      <c r="A44" s="3631"/>
      <c r="B44" s="3633"/>
      <c r="C44" s="419" t="s">
        <v>859</v>
      </c>
      <c r="D44" s="419" t="s">
        <v>806</v>
      </c>
      <c r="E44" s="3646"/>
    </row>
    <row r="45" spans="1:5" s="422" customFormat="1" ht="23.25" x14ac:dyDescent="0.2">
      <c r="A45" s="3631"/>
      <c r="B45" s="3634"/>
      <c r="C45" s="419" t="s">
        <v>859</v>
      </c>
      <c r="D45" s="419" t="s">
        <v>850</v>
      </c>
      <c r="E45" s="3647"/>
    </row>
    <row r="46" spans="1:5" s="422" customFormat="1" ht="23.25" x14ac:dyDescent="0.2">
      <c r="A46" s="3631"/>
      <c r="B46" s="3632" t="s">
        <v>861</v>
      </c>
      <c r="C46" s="419" t="s">
        <v>859</v>
      </c>
      <c r="D46" s="419" t="s">
        <v>825</v>
      </c>
      <c r="E46" s="3645">
        <f>ROUND(3795*(1-C93),2)</f>
        <v>3795</v>
      </c>
    </row>
    <row r="47" spans="1:5" s="422" customFormat="1" ht="23.25" x14ac:dyDescent="0.2">
      <c r="A47" s="3631"/>
      <c r="B47" s="3633"/>
      <c r="C47" s="419" t="s">
        <v>859</v>
      </c>
      <c r="D47" s="419" t="s">
        <v>806</v>
      </c>
      <c r="E47" s="3646"/>
    </row>
    <row r="48" spans="1:5" s="422" customFormat="1" ht="23.25" x14ac:dyDescent="0.2">
      <c r="A48" s="3631"/>
      <c r="B48" s="3634"/>
      <c r="C48" s="419" t="s">
        <v>859</v>
      </c>
      <c r="D48" s="419" t="s">
        <v>850</v>
      </c>
      <c r="E48" s="3647"/>
    </row>
    <row r="49" spans="1:5" s="422" customFormat="1" ht="23.25" x14ac:dyDescent="0.2">
      <c r="A49" s="3631"/>
      <c r="B49" s="3632" t="s">
        <v>862</v>
      </c>
      <c r="C49" s="419" t="s">
        <v>859</v>
      </c>
      <c r="D49" s="419" t="s">
        <v>825</v>
      </c>
      <c r="E49" s="3645">
        <f>ROUND(3520*(1-C93),2)</f>
        <v>3520</v>
      </c>
    </row>
    <row r="50" spans="1:5" s="422" customFormat="1" ht="23.25" x14ac:dyDescent="0.2">
      <c r="A50" s="3631"/>
      <c r="B50" s="3633"/>
      <c r="C50" s="419" t="s">
        <v>859</v>
      </c>
      <c r="D50" s="419" t="s">
        <v>806</v>
      </c>
      <c r="E50" s="3646"/>
    </row>
    <row r="51" spans="1:5" s="422" customFormat="1" ht="23.25" x14ac:dyDescent="0.2">
      <c r="A51" s="3631"/>
      <c r="B51" s="3634"/>
      <c r="C51" s="419" t="s">
        <v>859</v>
      </c>
      <c r="D51" s="419" t="s">
        <v>850</v>
      </c>
      <c r="E51" s="3647"/>
    </row>
    <row r="52" spans="1:5" s="422" customFormat="1" ht="23.25" x14ac:dyDescent="0.2">
      <c r="A52" s="3631"/>
      <c r="B52" s="3632" t="s">
        <v>863</v>
      </c>
      <c r="C52" s="419" t="s">
        <v>859</v>
      </c>
      <c r="D52" s="419" t="s">
        <v>825</v>
      </c>
      <c r="E52" s="3645">
        <f>ROUND(3795*(1-C93),2)</f>
        <v>3795</v>
      </c>
    </row>
    <row r="53" spans="1:5" s="422" customFormat="1" ht="23.25" x14ac:dyDescent="0.2">
      <c r="A53" s="3631"/>
      <c r="B53" s="3633"/>
      <c r="C53" s="419" t="s">
        <v>859</v>
      </c>
      <c r="D53" s="419" t="s">
        <v>806</v>
      </c>
      <c r="E53" s="3646"/>
    </row>
    <row r="54" spans="1:5" s="422" customFormat="1" ht="23.25" x14ac:dyDescent="0.2">
      <c r="A54" s="3631"/>
      <c r="B54" s="3634"/>
      <c r="C54" s="419" t="s">
        <v>859</v>
      </c>
      <c r="D54" s="419" t="s">
        <v>850</v>
      </c>
      <c r="E54" s="3647"/>
    </row>
    <row r="55" spans="1:5" s="422" customFormat="1" ht="23.25" x14ac:dyDescent="0.2">
      <c r="A55" s="3631"/>
      <c r="B55" s="3632" t="s">
        <v>864</v>
      </c>
      <c r="C55" s="419" t="s">
        <v>859</v>
      </c>
      <c r="D55" s="419" t="s">
        <v>825</v>
      </c>
      <c r="E55" s="3645">
        <f>ROUND(4620*(1-C93),2)</f>
        <v>4620</v>
      </c>
    </row>
    <row r="56" spans="1:5" s="422" customFormat="1" ht="23.25" x14ac:dyDescent="0.2">
      <c r="A56" s="3631"/>
      <c r="B56" s="3633"/>
      <c r="C56" s="419" t="s">
        <v>859</v>
      </c>
      <c r="D56" s="419" t="s">
        <v>806</v>
      </c>
      <c r="E56" s="3646"/>
    </row>
    <row r="57" spans="1:5" s="422" customFormat="1" ht="23.25" x14ac:dyDescent="0.2">
      <c r="A57" s="3631"/>
      <c r="B57" s="3634"/>
      <c r="C57" s="419" t="s">
        <v>859</v>
      </c>
      <c r="D57" s="419" t="s">
        <v>850</v>
      </c>
      <c r="E57" s="3647"/>
    </row>
    <row r="58" spans="1:5" s="422" customFormat="1" ht="23.25" x14ac:dyDescent="0.2">
      <c r="A58" s="3631"/>
      <c r="B58" s="3632" t="s">
        <v>865</v>
      </c>
      <c r="C58" s="419" t="s">
        <v>859</v>
      </c>
      <c r="D58" s="419" t="s">
        <v>825</v>
      </c>
      <c r="E58" s="3645">
        <f>ROUND(5060*(1-C93),2)</f>
        <v>5060</v>
      </c>
    </row>
    <row r="59" spans="1:5" s="422" customFormat="1" ht="23.25" x14ac:dyDescent="0.2">
      <c r="A59" s="3631"/>
      <c r="B59" s="3633"/>
      <c r="C59" s="419" t="s">
        <v>859</v>
      </c>
      <c r="D59" s="419" t="s">
        <v>806</v>
      </c>
      <c r="E59" s="3646"/>
    </row>
    <row r="60" spans="1:5" s="422" customFormat="1" ht="23.25" x14ac:dyDescent="0.2">
      <c r="A60" s="3631"/>
      <c r="B60" s="3634"/>
      <c r="C60" s="419" t="s">
        <v>859</v>
      </c>
      <c r="D60" s="419" t="s">
        <v>850</v>
      </c>
      <c r="E60" s="3647"/>
    </row>
    <row r="61" spans="1:5" s="422" customFormat="1" ht="24" customHeight="1" x14ac:dyDescent="0.2">
      <c r="A61" s="3631"/>
      <c r="B61" s="3632" t="s">
        <v>866</v>
      </c>
      <c r="C61" s="419" t="s">
        <v>107</v>
      </c>
      <c r="D61" s="419" t="s">
        <v>825</v>
      </c>
      <c r="E61" s="3645">
        <f>ROUND(5115*(1-C93),2)</f>
        <v>5115</v>
      </c>
    </row>
    <row r="62" spans="1:5" s="422" customFormat="1" ht="24" customHeight="1" x14ac:dyDescent="0.2">
      <c r="A62" s="3631"/>
      <c r="B62" s="3634"/>
      <c r="C62" s="419" t="s">
        <v>107</v>
      </c>
      <c r="D62" s="419" t="s">
        <v>850</v>
      </c>
      <c r="E62" s="3647"/>
    </row>
    <row r="63" spans="1:5" s="422" customFormat="1" ht="26.25" customHeight="1" x14ac:dyDescent="0.2">
      <c r="A63" s="3631"/>
      <c r="B63" s="3632" t="s">
        <v>867</v>
      </c>
      <c r="C63" s="419" t="s">
        <v>107</v>
      </c>
      <c r="D63" s="419" t="s">
        <v>825</v>
      </c>
      <c r="E63" s="3645">
        <f>ROUND(3300*(1-C93),2)</f>
        <v>3300</v>
      </c>
    </row>
    <row r="64" spans="1:5" s="422" customFormat="1" ht="25.5" customHeight="1" x14ac:dyDescent="0.2">
      <c r="A64" s="3631"/>
      <c r="B64" s="3634"/>
      <c r="C64" s="419" t="s">
        <v>107</v>
      </c>
      <c r="D64" s="419" t="s">
        <v>850</v>
      </c>
      <c r="E64" s="3647"/>
    </row>
    <row r="65" spans="1:5" s="422" customFormat="1" ht="36.75" customHeight="1" x14ac:dyDescent="0.2">
      <c r="A65" s="3631"/>
      <c r="B65" s="424" t="s">
        <v>868</v>
      </c>
      <c r="C65" s="419" t="s">
        <v>107</v>
      </c>
      <c r="D65" s="419" t="s">
        <v>825</v>
      </c>
      <c r="E65" s="425">
        <f>ROUND(2750*(1-C93),2)</f>
        <v>2750</v>
      </c>
    </row>
    <row r="66" spans="1:5" s="422" customFormat="1" ht="33.75" customHeight="1" x14ac:dyDescent="0.2">
      <c r="A66" s="3631"/>
      <c r="B66" s="424" t="s">
        <v>869</v>
      </c>
      <c r="C66" s="419" t="s">
        <v>107</v>
      </c>
      <c r="D66" s="419" t="s">
        <v>825</v>
      </c>
      <c r="E66" s="425">
        <f>ROUND(3025*(1-C93),2)</f>
        <v>3025</v>
      </c>
    </row>
    <row r="67" spans="1:5" s="422" customFormat="1" ht="103.5" customHeight="1" x14ac:dyDescent="0.35">
      <c r="A67" s="426"/>
      <c r="B67" s="424" t="s">
        <v>870</v>
      </c>
      <c r="C67" s="419" t="s">
        <v>859</v>
      </c>
      <c r="D67" s="419" t="s">
        <v>825</v>
      </c>
      <c r="E67" s="425">
        <f>ROUND(8305*(1-C93),2)</f>
        <v>8305</v>
      </c>
    </row>
    <row r="68" spans="1:5" s="422" customFormat="1" ht="102.75" customHeight="1" x14ac:dyDescent="0.35">
      <c r="A68" s="426"/>
      <c r="B68" s="424" t="s">
        <v>871</v>
      </c>
      <c r="C68" s="419" t="s">
        <v>107</v>
      </c>
      <c r="D68" s="419" t="s">
        <v>825</v>
      </c>
      <c r="E68" s="425">
        <f>ROUND(3795*(1-C93),2)</f>
        <v>3795</v>
      </c>
    </row>
    <row r="69" spans="1:5" s="422" customFormat="1" ht="23.25" x14ac:dyDescent="0.2">
      <c r="A69" s="3643" t="s">
        <v>872</v>
      </c>
      <c r="B69" s="3643"/>
      <c r="C69" s="3643"/>
      <c r="D69" s="3643"/>
      <c r="E69" s="3644"/>
    </row>
    <row r="70" spans="1:5" s="422" customFormat="1" ht="26.25" customHeight="1" x14ac:dyDescent="0.2">
      <c r="A70" s="3631"/>
      <c r="B70" s="3632" t="s">
        <v>873</v>
      </c>
      <c r="C70" s="419" t="s">
        <v>107</v>
      </c>
      <c r="D70" s="419" t="s">
        <v>825</v>
      </c>
      <c r="E70" s="3635">
        <f>ROUND(385*(1-C93),2)</f>
        <v>385</v>
      </c>
    </row>
    <row r="71" spans="1:5" s="422" customFormat="1" ht="25.5" customHeight="1" x14ac:dyDescent="0.2">
      <c r="A71" s="3631"/>
      <c r="B71" s="3633"/>
      <c r="C71" s="419" t="s">
        <v>107</v>
      </c>
      <c r="D71" s="419" t="s">
        <v>806</v>
      </c>
      <c r="E71" s="3636"/>
    </row>
    <row r="72" spans="1:5" s="422" customFormat="1" ht="25.5" customHeight="1" x14ac:dyDescent="0.2">
      <c r="A72" s="3631"/>
      <c r="B72" s="3634"/>
      <c r="C72" s="419" t="s">
        <v>107</v>
      </c>
      <c r="D72" s="419" t="s">
        <v>850</v>
      </c>
      <c r="E72" s="3637"/>
    </row>
    <row r="73" spans="1:5" s="422" customFormat="1" ht="24" customHeight="1" x14ac:dyDescent="0.2">
      <c r="A73" s="3631"/>
      <c r="B73" s="3632" t="s">
        <v>874</v>
      </c>
      <c r="C73" s="419" t="s">
        <v>107</v>
      </c>
      <c r="D73" s="419" t="s">
        <v>825</v>
      </c>
      <c r="E73" s="3635">
        <f>ROUND(605*(1-C93),2)</f>
        <v>605</v>
      </c>
    </row>
    <row r="74" spans="1:5" s="422" customFormat="1" ht="24" customHeight="1" x14ac:dyDescent="0.2">
      <c r="A74" s="3631"/>
      <c r="B74" s="3633"/>
      <c r="C74" s="419" t="s">
        <v>107</v>
      </c>
      <c r="D74" s="419" t="s">
        <v>806</v>
      </c>
      <c r="E74" s="3636"/>
    </row>
    <row r="75" spans="1:5" s="422" customFormat="1" ht="20.25" customHeight="1" x14ac:dyDescent="0.2">
      <c r="A75" s="3631"/>
      <c r="B75" s="3634"/>
      <c r="C75" s="419" t="s">
        <v>107</v>
      </c>
      <c r="D75" s="419" t="s">
        <v>850</v>
      </c>
      <c r="E75" s="3637"/>
    </row>
    <row r="76" spans="1:5" s="422" customFormat="1" ht="21" customHeight="1" x14ac:dyDescent="0.2">
      <c r="A76" s="3631"/>
      <c r="B76" s="3632" t="s">
        <v>875</v>
      </c>
      <c r="C76" s="419" t="s">
        <v>107</v>
      </c>
      <c r="D76" s="419" t="s">
        <v>825</v>
      </c>
      <c r="E76" s="3635">
        <f>ROUND(550*(1-C93),2)</f>
        <v>550</v>
      </c>
    </row>
    <row r="77" spans="1:5" s="422" customFormat="1" ht="24" customHeight="1" x14ac:dyDescent="0.2">
      <c r="A77" s="3631"/>
      <c r="B77" s="3633"/>
      <c r="C77" s="419" t="s">
        <v>107</v>
      </c>
      <c r="D77" s="419" t="s">
        <v>806</v>
      </c>
      <c r="E77" s="3636"/>
    </row>
    <row r="78" spans="1:5" s="422" customFormat="1" ht="20.25" customHeight="1" x14ac:dyDescent="0.2">
      <c r="A78" s="3631"/>
      <c r="B78" s="3634"/>
      <c r="C78" s="419" t="s">
        <v>107</v>
      </c>
      <c r="D78" s="419" t="s">
        <v>850</v>
      </c>
      <c r="E78" s="3637"/>
    </row>
    <row r="79" spans="1:5" s="422" customFormat="1" ht="22.5" customHeight="1" x14ac:dyDescent="0.2">
      <c r="A79" s="3631"/>
      <c r="B79" s="3632" t="s">
        <v>876</v>
      </c>
      <c r="C79" s="419" t="s">
        <v>107</v>
      </c>
      <c r="D79" s="419" t="s">
        <v>825</v>
      </c>
      <c r="E79" s="3635">
        <f>ROUND(440*(1-C93),2)</f>
        <v>440</v>
      </c>
    </row>
    <row r="80" spans="1:5" s="422" customFormat="1" ht="20.25" customHeight="1" x14ac:dyDescent="0.2">
      <c r="A80" s="3631"/>
      <c r="B80" s="3633"/>
      <c r="C80" s="419" t="s">
        <v>107</v>
      </c>
      <c r="D80" s="419" t="s">
        <v>806</v>
      </c>
      <c r="E80" s="3636"/>
    </row>
    <row r="81" spans="1:5" s="422" customFormat="1" ht="20.25" customHeight="1" x14ac:dyDescent="0.2">
      <c r="A81" s="3631"/>
      <c r="B81" s="3634"/>
      <c r="C81" s="419" t="s">
        <v>107</v>
      </c>
      <c r="D81" s="419" t="s">
        <v>850</v>
      </c>
      <c r="E81" s="3637"/>
    </row>
    <row r="82" spans="1:5" s="422" customFormat="1" ht="24" customHeight="1" x14ac:dyDescent="0.2">
      <c r="A82" s="3631"/>
      <c r="B82" s="3632" t="s">
        <v>877</v>
      </c>
      <c r="C82" s="419" t="s">
        <v>107</v>
      </c>
      <c r="D82" s="419" t="s">
        <v>825</v>
      </c>
      <c r="E82" s="3635">
        <f>ROUND(1210*(1-C93),2)</f>
        <v>1210</v>
      </c>
    </row>
    <row r="83" spans="1:5" s="422" customFormat="1" ht="20.25" customHeight="1" x14ac:dyDescent="0.2">
      <c r="A83" s="3631"/>
      <c r="B83" s="3633"/>
      <c r="C83" s="419" t="s">
        <v>107</v>
      </c>
      <c r="D83" s="419" t="s">
        <v>806</v>
      </c>
      <c r="E83" s="3636"/>
    </row>
    <row r="84" spans="1:5" s="422" customFormat="1" ht="22.5" customHeight="1" x14ac:dyDescent="0.2">
      <c r="A84" s="3631"/>
      <c r="B84" s="3634"/>
      <c r="C84" s="419" t="s">
        <v>107</v>
      </c>
      <c r="D84" s="419" t="s">
        <v>850</v>
      </c>
      <c r="E84" s="3637"/>
    </row>
    <row r="85" spans="1:5" ht="20.25" x14ac:dyDescent="0.2">
      <c r="B85" s="427"/>
      <c r="C85" s="427"/>
      <c r="D85" s="427"/>
      <c r="E85" s="428"/>
    </row>
    <row r="86" spans="1:5" ht="20.25" x14ac:dyDescent="0.3">
      <c r="A86" s="431" t="s">
        <v>2259</v>
      </c>
      <c r="B86" s="429"/>
      <c r="C86" s="429"/>
      <c r="D86" s="429"/>
      <c r="E86" s="430"/>
    </row>
    <row r="87" spans="1:5" ht="20.25" x14ac:dyDescent="0.3">
      <c r="A87" s="43"/>
      <c r="C87" s="431"/>
      <c r="D87" s="431"/>
      <c r="E87" s="430"/>
    </row>
    <row r="88" spans="1:5" ht="20.25" x14ac:dyDescent="0.2">
      <c r="A88" s="1"/>
      <c r="B88" s="429"/>
      <c r="C88" s="429"/>
      <c r="D88" s="429"/>
      <c r="E88" s="430"/>
    </row>
    <row r="89" spans="1:5" ht="20.25" x14ac:dyDescent="0.3">
      <c r="A89" s="1"/>
      <c r="B89" s="432"/>
      <c r="C89" s="432"/>
      <c r="D89" s="432"/>
      <c r="E89" s="430"/>
    </row>
    <row r="90" spans="1:5" ht="20.25" x14ac:dyDescent="0.3">
      <c r="A90" s="1"/>
      <c r="B90" s="433"/>
      <c r="C90" s="43"/>
      <c r="D90" s="43"/>
      <c r="E90" s="432"/>
    </row>
    <row r="91" spans="1:5" ht="20.25" x14ac:dyDescent="0.2">
      <c r="B91" s="1"/>
      <c r="C91" s="1"/>
      <c r="D91" s="1"/>
      <c r="E91" s="1"/>
    </row>
    <row r="92" spans="1:5" ht="60.75" x14ac:dyDescent="0.2">
      <c r="B92" s="3638" t="s">
        <v>66</v>
      </c>
      <c r="C92" s="3639" t="s">
        <v>847</v>
      </c>
      <c r="D92" s="3640"/>
      <c r="E92" s="434" t="s">
        <v>843</v>
      </c>
    </row>
    <row r="93" spans="1:5" ht="23.25" x14ac:dyDescent="0.2">
      <c r="B93" s="3638"/>
      <c r="C93" s="3641">
        <v>0</v>
      </c>
      <c r="D93" s="3642"/>
      <c r="E93" s="435">
        <v>0</v>
      </c>
    </row>
    <row r="94" spans="1:5" ht="11.25" customHeight="1" x14ac:dyDescent="0.2">
      <c r="B94" s="436"/>
      <c r="C94" s="436"/>
      <c r="D94" s="436"/>
      <c r="E94" s="437"/>
    </row>
  </sheetData>
  <sheetProtection formatCells="0" formatColumns="0" formatRows="0" insertColumns="0" insertRows="0" insertHyperlinks="0" deleteColumns="0" deleteRows="0" sort="0" autoFilter="0" pivotTables="0"/>
  <mergeCells count="67">
    <mergeCell ref="C15:E15"/>
    <mergeCell ref="C10:E10"/>
    <mergeCell ref="A11:E11"/>
    <mergeCell ref="A13:A14"/>
    <mergeCell ref="B13:B14"/>
    <mergeCell ref="E13:E14"/>
    <mergeCell ref="A30:A32"/>
    <mergeCell ref="B30:B32"/>
    <mergeCell ref="E30:E32"/>
    <mergeCell ref="A16:E16"/>
    <mergeCell ref="A18:A23"/>
    <mergeCell ref="B18:B20"/>
    <mergeCell ref="E18:E20"/>
    <mergeCell ref="B21:B23"/>
    <mergeCell ref="E21:E23"/>
    <mergeCell ref="A24:A29"/>
    <mergeCell ref="B24:B26"/>
    <mergeCell ref="E24:E26"/>
    <mergeCell ref="B27:B29"/>
    <mergeCell ref="E27:E29"/>
    <mergeCell ref="A40:A60"/>
    <mergeCell ref="B40:B42"/>
    <mergeCell ref="E40:E42"/>
    <mergeCell ref="B52:B54"/>
    <mergeCell ref="A33:A38"/>
    <mergeCell ref="B33:B35"/>
    <mergeCell ref="E33:E35"/>
    <mergeCell ref="B36:B38"/>
    <mergeCell ref="E36:E38"/>
    <mergeCell ref="A39:E39"/>
    <mergeCell ref="B43:B45"/>
    <mergeCell ref="E43:E45"/>
    <mergeCell ref="B46:B48"/>
    <mergeCell ref="E46:E48"/>
    <mergeCell ref="B49:B51"/>
    <mergeCell ref="E49:E51"/>
    <mergeCell ref="A61:A64"/>
    <mergeCell ref="B61:B62"/>
    <mergeCell ref="E61:E62"/>
    <mergeCell ref="B63:B64"/>
    <mergeCell ref="E63:E64"/>
    <mergeCell ref="E52:E54"/>
    <mergeCell ref="B55:B57"/>
    <mergeCell ref="E55:E57"/>
    <mergeCell ref="B58:B60"/>
    <mergeCell ref="E58:E60"/>
    <mergeCell ref="B70:B72"/>
    <mergeCell ref="E70:E72"/>
    <mergeCell ref="A73:A75"/>
    <mergeCell ref="B73:B75"/>
    <mergeCell ref="E73:E75"/>
    <mergeCell ref="A1:E9"/>
    <mergeCell ref="A82:A84"/>
    <mergeCell ref="B82:B84"/>
    <mergeCell ref="E82:E84"/>
    <mergeCell ref="B92:B93"/>
    <mergeCell ref="C92:D92"/>
    <mergeCell ref="C93:D93"/>
    <mergeCell ref="A76:A78"/>
    <mergeCell ref="B76:B78"/>
    <mergeCell ref="E76:E78"/>
    <mergeCell ref="A79:A81"/>
    <mergeCell ref="B79:B81"/>
    <mergeCell ref="E79:E81"/>
    <mergeCell ref="A65:A66"/>
    <mergeCell ref="A69:E69"/>
    <mergeCell ref="A70:A72"/>
  </mergeCells>
  <printOptions horizontalCentered="1"/>
  <pageMargins left="0.19685039370078741" right="0" top="0" bottom="0" header="0" footer="0"/>
  <pageSetup paperSize="9" scale="37" orientation="portrait" r:id="rId1"/>
  <headerFooter>
    <oddFooter>&amp;R&amp;16Стр. &amp;P из  &amp;N
&amp;A</oddFooter>
  </headerFooter>
  <ignoredErrors>
    <ignoredError sqref="E21 E24" formula="1"/>
  </ignoredError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3"/>
  <dimension ref="A1:Q55"/>
  <sheetViews>
    <sheetView showWhiteSpace="0" zoomScale="30" zoomScaleNormal="30" zoomScaleSheetLayoutView="25" zoomScalePageLayoutView="10" workbookViewId="0">
      <selection sqref="A1:C2"/>
    </sheetView>
  </sheetViews>
  <sheetFormatPr defaultColWidth="129.140625" defaultRowHeight="11.25" x14ac:dyDescent="0.2"/>
  <cols>
    <col min="1" max="1" width="47.7109375" style="120" customWidth="1"/>
    <col min="2" max="2" width="129.140625" style="120" customWidth="1"/>
    <col min="3" max="3" width="54.85546875" style="120" customWidth="1"/>
    <col min="4" max="4" width="51.5703125" style="120" customWidth="1"/>
    <col min="5" max="5" width="51.140625" style="120" customWidth="1"/>
    <col min="6" max="6" width="35.85546875" style="120" customWidth="1"/>
    <col min="7" max="7" width="22.140625" style="120" customWidth="1"/>
    <col min="8" max="8" width="19.7109375" style="120" customWidth="1"/>
    <col min="9" max="12" width="19" style="120" customWidth="1"/>
    <col min="13" max="13" width="7" style="120" customWidth="1"/>
    <col min="14" max="14" width="19" style="120" customWidth="1"/>
    <col min="15" max="16" width="16.7109375" style="120" customWidth="1"/>
    <col min="17" max="254" width="25.28515625" style="120" customWidth="1"/>
    <col min="255" max="255" width="43" style="120" customWidth="1"/>
    <col min="256" max="16384" width="129.140625" style="120"/>
  </cols>
  <sheetData>
    <row r="1" spans="1:17" x14ac:dyDescent="0.2">
      <c r="A1" s="3663"/>
      <c r="B1" s="3663"/>
      <c r="C1" s="3663"/>
      <c r="D1" s="3663"/>
      <c r="E1" s="3663"/>
    </row>
    <row r="2" spans="1:17" x14ac:dyDescent="0.2">
      <c r="A2" s="3663"/>
      <c r="B2" s="3663"/>
      <c r="C2" s="3663"/>
      <c r="D2" s="3663"/>
      <c r="E2" s="3663"/>
    </row>
    <row r="3" spans="1:17" x14ac:dyDescent="0.2">
      <c r="A3" s="3663"/>
      <c r="B3" s="3663"/>
      <c r="C3" s="3663"/>
      <c r="D3" s="3663"/>
      <c r="E3" s="3663"/>
    </row>
    <row r="4" spans="1:17" x14ac:dyDescent="0.2">
      <c r="A4" s="3663"/>
      <c r="B4" s="3663"/>
      <c r="C4" s="3663"/>
      <c r="D4" s="3663"/>
      <c r="E4" s="3663"/>
    </row>
    <row r="5" spans="1:17" x14ac:dyDescent="0.2">
      <c r="A5" s="3663"/>
      <c r="B5" s="3663"/>
      <c r="C5" s="3663"/>
      <c r="D5" s="3663"/>
      <c r="E5" s="3663"/>
    </row>
    <row r="6" spans="1:17" x14ac:dyDescent="0.2">
      <c r="A6" s="3663"/>
      <c r="B6" s="3663"/>
      <c r="C6" s="3663"/>
      <c r="D6" s="3663"/>
      <c r="E6" s="3663"/>
    </row>
    <row r="7" spans="1:17" x14ac:dyDescent="0.2">
      <c r="A7" s="3663"/>
      <c r="B7" s="3663"/>
      <c r="C7" s="3663"/>
      <c r="D7" s="3663"/>
      <c r="E7" s="3663"/>
    </row>
    <row r="8" spans="1:17" x14ac:dyDescent="0.2">
      <c r="A8" s="3663"/>
      <c r="B8" s="3663"/>
      <c r="C8" s="3663"/>
      <c r="D8" s="3663"/>
      <c r="E8" s="3663"/>
    </row>
    <row r="9" spans="1:17" x14ac:dyDescent="0.2">
      <c r="A9" s="3663"/>
      <c r="B9" s="3663"/>
      <c r="C9" s="3663"/>
      <c r="D9" s="3663"/>
      <c r="E9" s="3663"/>
    </row>
    <row r="10" spans="1:17" x14ac:dyDescent="0.2">
      <c r="A10" s="3663"/>
      <c r="B10" s="3663"/>
      <c r="C10" s="3663"/>
      <c r="D10" s="3663"/>
      <c r="E10" s="3663"/>
    </row>
    <row r="11" spans="1:17" ht="79.5" customHeight="1" thickBot="1" x14ac:dyDescent="0.25">
      <c r="A11" s="3664"/>
      <c r="B11" s="3664"/>
      <c r="C11" s="3664"/>
      <c r="D11" s="3664"/>
      <c r="E11" s="3664"/>
    </row>
    <row r="12" spans="1:17" ht="52.5" customHeight="1" x14ac:dyDescent="0.8">
      <c r="A12" s="3687" t="s">
        <v>878</v>
      </c>
      <c r="B12" s="3687"/>
      <c r="C12" s="3687"/>
      <c r="D12" s="3687"/>
      <c r="E12" s="3687"/>
      <c r="F12" s="342"/>
      <c r="G12" s="342"/>
      <c r="H12" s="342"/>
      <c r="I12" s="438"/>
      <c r="J12" s="438"/>
      <c r="K12" s="438"/>
      <c r="L12" s="438"/>
      <c r="M12" s="438"/>
      <c r="N12" s="438"/>
      <c r="O12" s="121"/>
      <c r="P12" s="121"/>
      <c r="Q12" s="122"/>
    </row>
    <row r="13" spans="1:17" ht="35.25" customHeight="1" x14ac:dyDescent="0.55000000000000004">
      <c r="A13" s="439"/>
      <c r="B13" s="440"/>
      <c r="C13" s="3688" t="s">
        <v>3201</v>
      </c>
      <c r="D13" s="3688"/>
      <c r="E13" s="3688"/>
      <c r="I13" s="441"/>
      <c r="J13" s="441"/>
      <c r="K13" s="441"/>
      <c r="L13" s="440"/>
      <c r="M13" s="440"/>
      <c r="N13" s="440"/>
      <c r="O13" s="124"/>
      <c r="P13" s="122"/>
      <c r="Q13" s="122"/>
    </row>
    <row r="14" spans="1:17" ht="37.5" customHeight="1" x14ac:dyDescent="0.5">
      <c r="A14" s="3689" t="s">
        <v>285</v>
      </c>
      <c r="B14" s="3689" t="s">
        <v>746</v>
      </c>
      <c r="C14" s="3689" t="s">
        <v>802</v>
      </c>
      <c r="D14" s="3691" t="s">
        <v>879</v>
      </c>
      <c r="E14" s="3692"/>
      <c r="F14" s="442"/>
      <c r="G14" s="443"/>
      <c r="H14" s="442"/>
      <c r="I14" s="440"/>
      <c r="J14" s="440"/>
      <c r="K14" s="440"/>
      <c r="L14" s="440"/>
      <c r="M14" s="440"/>
      <c r="N14" s="440"/>
      <c r="O14" s="444"/>
      <c r="P14" s="122"/>
      <c r="Q14" s="122"/>
    </row>
    <row r="15" spans="1:17" ht="45" customHeight="1" x14ac:dyDescent="0.5">
      <c r="A15" s="3690"/>
      <c r="B15" s="3690"/>
      <c r="C15" s="3690"/>
      <c r="D15" s="3693"/>
      <c r="E15" s="3694"/>
      <c r="F15" s="443"/>
      <c r="G15" s="445"/>
      <c r="H15" s="443"/>
      <c r="I15" s="440"/>
      <c r="J15" s="440"/>
      <c r="K15" s="440"/>
      <c r="L15" s="440"/>
      <c r="M15" s="440"/>
      <c r="N15" s="440"/>
      <c r="O15" s="444"/>
      <c r="P15" s="122"/>
      <c r="Q15" s="122"/>
    </row>
    <row r="16" spans="1:17" ht="97.5" customHeight="1" x14ac:dyDescent="0.5">
      <c r="A16" s="446"/>
      <c r="B16" s="3677" t="s">
        <v>880</v>
      </c>
      <c r="C16" s="446" t="s">
        <v>881</v>
      </c>
      <c r="D16" s="3679">
        <f>ROUND(432*(1-C49),2)</f>
        <v>432</v>
      </c>
      <c r="E16" s="3679"/>
      <c r="F16" s="443"/>
      <c r="G16" s="447"/>
      <c r="H16" s="443"/>
      <c r="I16" s="440"/>
      <c r="J16" s="440"/>
      <c r="K16" s="440"/>
      <c r="L16" s="440"/>
      <c r="M16" s="440"/>
      <c r="N16" s="440"/>
      <c r="O16" s="448"/>
      <c r="P16" s="122"/>
      <c r="Q16" s="122"/>
    </row>
    <row r="17" spans="1:17" ht="97.5" customHeight="1" x14ac:dyDescent="0.55000000000000004">
      <c r="A17" s="449"/>
      <c r="B17" s="3678"/>
      <c r="C17" s="450" t="s">
        <v>882</v>
      </c>
      <c r="D17" s="3680">
        <f>ROUND(488*(1-C49),2)</f>
        <v>488</v>
      </c>
      <c r="E17" s="3680"/>
      <c r="F17" s="443"/>
      <c r="G17" s="447"/>
      <c r="H17" s="443"/>
      <c r="I17" s="440"/>
      <c r="J17" s="440"/>
      <c r="K17" s="440"/>
      <c r="L17" s="440"/>
      <c r="M17" s="440"/>
      <c r="N17" s="440"/>
      <c r="O17" s="448"/>
      <c r="P17" s="122"/>
      <c r="Q17" s="122"/>
    </row>
    <row r="18" spans="1:17" ht="97.5" customHeight="1" x14ac:dyDescent="0.5">
      <c r="A18" s="446"/>
      <c r="B18" s="3677" t="s">
        <v>883</v>
      </c>
      <c r="C18" s="446" t="s">
        <v>881</v>
      </c>
      <c r="D18" s="3679">
        <f>ROUND(139*(1-C49),2)</f>
        <v>139</v>
      </c>
      <c r="E18" s="3679"/>
      <c r="F18" s="443"/>
      <c r="G18" s="447"/>
      <c r="H18" s="443"/>
      <c r="I18" s="440"/>
      <c r="J18" s="440"/>
      <c r="K18" s="440"/>
      <c r="L18" s="440"/>
      <c r="M18" s="440"/>
      <c r="N18" s="440"/>
      <c r="O18" s="448"/>
      <c r="P18" s="122"/>
      <c r="Q18" s="122"/>
    </row>
    <row r="19" spans="1:17" ht="97.5" customHeight="1" x14ac:dyDescent="0.55000000000000004">
      <c r="A19" s="449"/>
      <c r="B19" s="3678"/>
      <c r="C19" s="450" t="s">
        <v>882</v>
      </c>
      <c r="D19" s="3680">
        <f>ROUND(145*(1-C49),2)</f>
        <v>145</v>
      </c>
      <c r="E19" s="3680"/>
      <c r="F19" s="443"/>
      <c r="G19" s="447"/>
      <c r="H19" s="443"/>
      <c r="I19" s="440"/>
      <c r="J19" s="440"/>
      <c r="K19" s="440"/>
      <c r="L19" s="440"/>
      <c r="M19" s="440"/>
      <c r="N19" s="440"/>
      <c r="O19" s="448"/>
      <c r="P19" s="122"/>
      <c r="Q19" s="122"/>
    </row>
    <row r="20" spans="1:17" ht="97.5" customHeight="1" x14ac:dyDescent="0.5">
      <c r="A20" s="446"/>
      <c r="B20" s="3677" t="s">
        <v>884</v>
      </c>
      <c r="C20" s="446" t="s">
        <v>881</v>
      </c>
      <c r="D20" s="3679">
        <f>ROUND(217*(1-C49),2)</f>
        <v>217</v>
      </c>
      <c r="E20" s="3679"/>
      <c r="F20" s="443"/>
      <c r="G20" s="447"/>
      <c r="H20" s="443"/>
      <c r="I20" s="440"/>
      <c r="J20" s="440"/>
      <c r="K20" s="440"/>
      <c r="L20" s="440"/>
      <c r="M20" s="440"/>
      <c r="N20" s="440"/>
      <c r="O20" s="448"/>
      <c r="P20" s="122"/>
      <c r="Q20" s="122"/>
    </row>
    <row r="21" spans="1:17" ht="97.5" customHeight="1" x14ac:dyDescent="0.55000000000000004">
      <c r="A21" s="449"/>
      <c r="B21" s="3678"/>
      <c r="C21" s="450" t="s">
        <v>882</v>
      </c>
      <c r="D21" s="3680">
        <f>ROUND(227*(1-C49),2)</f>
        <v>227</v>
      </c>
      <c r="E21" s="3680"/>
      <c r="F21" s="443"/>
      <c r="G21" s="447"/>
      <c r="H21" s="443"/>
      <c r="I21" s="440"/>
      <c r="J21" s="440"/>
      <c r="K21" s="440"/>
      <c r="L21" s="440"/>
      <c r="M21" s="440"/>
      <c r="N21" s="440"/>
      <c r="O21" s="448"/>
      <c r="P21" s="122"/>
      <c r="Q21" s="122"/>
    </row>
    <row r="22" spans="1:17" ht="97.5" customHeight="1" x14ac:dyDescent="0.5">
      <c r="A22" s="446"/>
      <c r="B22" s="3677" t="s">
        <v>885</v>
      </c>
      <c r="C22" s="446" t="s">
        <v>881</v>
      </c>
      <c r="D22" s="3679">
        <f>ROUND(739*(1-C49),2)</f>
        <v>739</v>
      </c>
      <c r="E22" s="3679"/>
      <c r="F22" s="443"/>
      <c r="G22" s="447"/>
      <c r="H22" s="443"/>
      <c r="I22" s="440"/>
      <c r="J22" s="440"/>
      <c r="K22" s="440"/>
      <c r="L22" s="440"/>
      <c r="M22" s="440"/>
      <c r="N22" s="440"/>
      <c r="O22" s="448"/>
      <c r="P22" s="122"/>
      <c r="Q22" s="122"/>
    </row>
    <row r="23" spans="1:17" ht="97.5" customHeight="1" x14ac:dyDescent="0.55000000000000004">
      <c r="A23" s="449"/>
      <c r="B23" s="3678"/>
      <c r="C23" s="450" t="s">
        <v>882</v>
      </c>
      <c r="D23" s="3680">
        <f>ROUND(776*(1-C49),2)</f>
        <v>776</v>
      </c>
      <c r="E23" s="3680"/>
      <c r="F23" s="443"/>
      <c r="G23" s="447"/>
      <c r="H23" s="443"/>
      <c r="I23" s="440"/>
      <c r="J23" s="440"/>
      <c r="K23" s="440"/>
      <c r="L23" s="440"/>
      <c r="M23" s="440"/>
      <c r="N23" s="440"/>
      <c r="O23" s="448"/>
      <c r="P23" s="122"/>
      <c r="Q23" s="122"/>
    </row>
    <row r="24" spans="1:17" ht="92.25" customHeight="1" x14ac:dyDescent="0.5">
      <c r="A24" s="446"/>
      <c r="B24" s="3677" t="s">
        <v>886</v>
      </c>
      <c r="C24" s="446" t="s">
        <v>881</v>
      </c>
      <c r="D24" s="3679">
        <f>ROUND(349*(1-C49),2)</f>
        <v>349</v>
      </c>
      <c r="E24" s="3679"/>
      <c r="F24" s="443"/>
      <c r="G24" s="447"/>
      <c r="H24" s="443"/>
      <c r="I24" s="440"/>
      <c r="J24" s="440"/>
      <c r="K24" s="440"/>
      <c r="L24" s="440"/>
      <c r="M24" s="440"/>
      <c r="N24" s="440"/>
      <c r="O24" s="448"/>
      <c r="P24" s="122"/>
      <c r="Q24" s="122"/>
    </row>
    <row r="25" spans="1:17" ht="97.5" customHeight="1" x14ac:dyDescent="0.55000000000000004">
      <c r="A25" s="449"/>
      <c r="B25" s="3678"/>
      <c r="C25" s="450" t="s">
        <v>882</v>
      </c>
      <c r="D25" s="3680">
        <f>ROUND(354*(1-C49),2)</f>
        <v>354</v>
      </c>
      <c r="E25" s="3680"/>
      <c r="F25" s="443"/>
      <c r="G25" s="447"/>
      <c r="H25" s="443"/>
      <c r="I25" s="440"/>
      <c r="J25" s="440"/>
      <c r="K25" s="440"/>
      <c r="L25" s="440"/>
      <c r="M25" s="440"/>
      <c r="N25" s="440"/>
      <c r="O25" s="448"/>
      <c r="P25" s="122"/>
      <c r="Q25" s="122"/>
    </row>
    <row r="26" spans="1:17" ht="99.75" customHeight="1" x14ac:dyDescent="0.5">
      <c r="A26" s="446"/>
      <c r="B26" s="3677" t="s">
        <v>887</v>
      </c>
      <c r="C26" s="446" t="s">
        <v>881</v>
      </c>
      <c r="D26" s="3679">
        <f>ROUND(66*(1-C49),2)</f>
        <v>66</v>
      </c>
      <c r="E26" s="3679"/>
      <c r="F26" s="443"/>
      <c r="G26" s="447"/>
      <c r="H26" s="443"/>
      <c r="I26" s="440"/>
      <c r="J26" s="440"/>
      <c r="K26" s="440"/>
      <c r="L26" s="440"/>
      <c r="M26" s="440"/>
      <c r="N26" s="440"/>
      <c r="O26" s="448"/>
      <c r="P26" s="122"/>
      <c r="Q26" s="122"/>
    </row>
    <row r="27" spans="1:17" ht="107.25" customHeight="1" x14ac:dyDescent="0.55000000000000004">
      <c r="A27" s="449"/>
      <c r="B27" s="3678"/>
      <c r="C27" s="450" t="s">
        <v>882</v>
      </c>
      <c r="D27" s="3680">
        <f>ROUND(69*(1-C49),2)</f>
        <v>69</v>
      </c>
      <c r="E27" s="3680"/>
      <c r="F27" s="443"/>
      <c r="G27" s="447"/>
      <c r="H27" s="443"/>
      <c r="I27" s="440"/>
      <c r="J27" s="440"/>
      <c r="K27" s="440"/>
      <c r="L27" s="440"/>
      <c r="M27" s="440"/>
      <c r="N27" s="440"/>
      <c r="O27" s="448"/>
      <c r="P27" s="122"/>
      <c r="Q27" s="122"/>
    </row>
    <row r="28" spans="1:17" ht="94.5" customHeight="1" x14ac:dyDescent="0.5">
      <c r="A28" s="446"/>
      <c r="B28" s="3677" t="s">
        <v>888</v>
      </c>
      <c r="C28" s="446" t="s">
        <v>881</v>
      </c>
      <c r="D28" s="3679">
        <f>ROUND(46*(1-C49),2)</f>
        <v>46</v>
      </c>
      <c r="E28" s="3679"/>
      <c r="F28" s="443"/>
      <c r="G28" s="447"/>
      <c r="H28" s="443"/>
      <c r="I28" s="440"/>
      <c r="J28" s="440"/>
      <c r="K28" s="440"/>
      <c r="L28" s="440"/>
      <c r="M28" s="440"/>
      <c r="N28" s="440"/>
      <c r="O28" s="448"/>
      <c r="P28" s="122"/>
      <c r="Q28" s="122"/>
    </row>
    <row r="29" spans="1:17" ht="84.75" customHeight="1" x14ac:dyDescent="0.55000000000000004">
      <c r="A29" s="449"/>
      <c r="B29" s="3678"/>
      <c r="C29" s="450" t="s">
        <v>882</v>
      </c>
      <c r="D29" s="3680">
        <f>ROUND(48*(1-C49),2)</f>
        <v>48</v>
      </c>
      <c r="E29" s="3680"/>
      <c r="F29" s="443"/>
      <c r="G29" s="447"/>
      <c r="H29" s="443"/>
      <c r="I29" s="440"/>
      <c r="J29" s="440"/>
      <c r="K29" s="440"/>
      <c r="L29" s="440"/>
      <c r="M29" s="440"/>
      <c r="N29" s="440"/>
      <c r="O29" s="448"/>
      <c r="P29" s="122"/>
      <c r="Q29" s="122"/>
    </row>
    <row r="30" spans="1:17" ht="102.75" customHeight="1" x14ac:dyDescent="0.55000000000000004">
      <c r="A30" s="451"/>
      <c r="B30" s="452" t="s">
        <v>889</v>
      </c>
      <c r="C30" s="453" t="s">
        <v>890</v>
      </c>
      <c r="D30" s="3680">
        <f>ROUND(182*(1-C49),2)</f>
        <v>182</v>
      </c>
      <c r="E30" s="3680"/>
      <c r="F30" s="443"/>
      <c r="G30" s="447"/>
      <c r="H30" s="443"/>
      <c r="I30" s="440"/>
      <c r="J30" s="440"/>
      <c r="K30" s="440"/>
      <c r="L30" s="440"/>
      <c r="M30" s="440"/>
      <c r="N30" s="440"/>
      <c r="O30" s="448"/>
      <c r="P30" s="122"/>
      <c r="Q30" s="122"/>
    </row>
    <row r="31" spans="1:17" ht="102.75" customHeight="1" x14ac:dyDescent="0.55000000000000004">
      <c r="A31" s="1441"/>
      <c r="B31" s="3685" t="s">
        <v>2111</v>
      </c>
      <c r="C31" s="1442" t="s">
        <v>881</v>
      </c>
      <c r="D31" s="3681">
        <f>ROUND(12*(1-C49),2)</f>
        <v>12</v>
      </c>
      <c r="E31" s="3682"/>
      <c r="F31" s="443"/>
      <c r="G31" s="447"/>
      <c r="H31" s="443"/>
      <c r="I31" s="440"/>
      <c r="J31" s="440"/>
      <c r="K31" s="440"/>
      <c r="L31" s="440"/>
      <c r="M31" s="440"/>
      <c r="N31" s="440"/>
      <c r="O31" s="448"/>
      <c r="P31" s="122"/>
      <c r="Q31" s="122"/>
    </row>
    <row r="32" spans="1:17" ht="102.75" customHeight="1" x14ac:dyDescent="0.55000000000000004">
      <c r="A32" s="1441"/>
      <c r="B32" s="3686"/>
      <c r="C32" s="450" t="s">
        <v>882</v>
      </c>
      <c r="D32" s="3683"/>
      <c r="E32" s="3684"/>
      <c r="F32" s="443"/>
      <c r="G32" s="447"/>
      <c r="H32" s="443"/>
      <c r="I32" s="440"/>
      <c r="J32" s="440"/>
      <c r="K32" s="440"/>
      <c r="L32" s="440"/>
      <c r="M32" s="440"/>
      <c r="N32" s="440"/>
      <c r="O32" s="448"/>
      <c r="P32" s="122"/>
      <c r="Q32" s="122"/>
    </row>
    <row r="33" spans="1:17" ht="94.5" customHeight="1" x14ac:dyDescent="0.5">
      <c r="A33" s="446"/>
      <c r="B33" s="3677" t="s">
        <v>891</v>
      </c>
      <c r="C33" s="446" t="s">
        <v>881</v>
      </c>
      <c r="D33" s="3679">
        <f>ROUND(529*(1-C49),2)</f>
        <v>529</v>
      </c>
      <c r="E33" s="3679"/>
      <c r="F33" s="443"/>
      <c r="G33" s="447"/>
      <c r="H33" s="443"/>
      <c r="I33" s="440"/>
      <c r="J33" s="440"/>
      <c r="K33" s="440"/>
      <c r="L33" s="440"/>
      <c r="M33" s="440"/>
      <c r="N33" s="440"/>
      <c r="O33" s="448"/>
      <c r="P33" s="122"/>
      <c r="Q33" s="122"/>
    </row>
    <row r="34" spans="1:17" ht="105" customHeight="1" x14ac:dyDescent="0.55000000000000004">
      <c r="A34" s="449"/>
      <c r="B34" s="3678"/>
      <c r="C34" s="450" t="s">
        <v>882</v>
      </c>
      <c r="D34" s="3680">
        <f>ROUND(574*(1-C49),2)</f>
        <v>574</v>
      </c>
      <c r="E34" s="3680"/>
      <c r="F34" s="443"/>
      <c r="G34" s="447"/>
      <c r="H34" s="443"/>
      <c r="I34" s="440"/>
      <c r="J34" s="440"/>
      <c r="K34" s="440"/>
      <c r="L34" s="440"/>
      <c r="M34" s="440"/>
      <c r="N34" s="440"/>
      <c r="O34" s="448"/>
      <c r="P34" s="122"/>
      <c r="Q34" s="122"/>
    </row>
    <row r="35" spans="1:17" ht="99" customHeight="1" x14ac:dyDescent="0.5">
      <c r="A35" s="446"/>
      <c r="B35" s="3677" t="s">
        <v>892</v>
      </c>
      <c r="C35" s="446" t="s">
        <v>881</v>
      </c>
      <c r="D35" s="3679">
        <f>ROUND(157*(1-C49),2)</f>
        <v>157</v>
      </c>
      <c r="E35" s="3679"/>
      <c r="F35" s="443"/>
      <c r="G35" s="447"/>
      <c r="H35" s="443"/>
      <c r="I35" s="440"/>
      <c r="J35" s="440"/>
      <c r="K35" s="440"/>
      <c r="L35" s="440"/>
      <c r="M35" s="440"/>
      <c r="N35" s="440"/>
      <c r="O35" s="448"/>
      <c r="P35" s="122"/>
      <c r="Q35" s="122"/>
    </row>
    <row r="36" spans="1:17" ht="96.75" customHeight="1" x14ac:dyDescent="0.55000000000000004">
      <c r="A36" s="449"/>
      <c r="B36" s="3678"/>
      <c r="C36" s="450" t="s">
        <v>882</v>
      </c>
      <c r="D36" s="3680">
        <f>ROUND(165*(1-C49),2)</f>
        <v>165</v>
      </c>
      <c r="E36" s="3680"/>
      <c r="G36" s="454"/>
      <c r="H36" s="454"/>
      <c r="J36" s="440"/>
      <c r="K36" s="440"/>
      <c r="L36" s="440"/>
      <c r="M36" s="440"/>
      <c r="N36" s="440"/>
      <c r="O36" s="448"/>
      <c r="P36" s="122"/>
      <c r="Q36" s="122"/>
    </row>
    <row r="37" spans="1:17" ht="102" customHeight="1" x14ac:dyDescent="0.5">
      <c r="A37" s="446"/>
      <c r="B37" s="3677" t="s">
        <v>893</v>
      </c>
      <c r="C37" s="446" t="s">
        <v>881</v>
      </c>
      <c r="D37" s="3679">
        <f>ROUND(146*(1-C49),2)</f>
        <v>146</v>
      </c>
      <c r="E37" s="3679"/>
      <c r="G37" s="442"/>
      <c r="H37" s="442"/>
      <c r="J37" s="440"/>
      <c r="K37" s="440"/>
      <c r="L37" s="440"/>
      <c r="M37" s="440"/>
      <c r="N37" s="440"/>
      <c r="O37" s="455"/>
      <c r="P37" s="122"/>
      <c r="Q37" s="122"/>
    </row>
    <row r="38" spans="1:17" ht="105" customHeight="1" x14ac:dyDescent="0.55000000000000004">
      <c r="A38" s="449"/>
      <c r="B38" s="3678"/>
      <c r="C38" s="450" t="s">
        <v>882</v>
      </c>
      <c r="D38" s="3680">
        <f>ROUND(157*(1-C49),2)</f>
        <v>157</v>
      </c>
      <c r="E38" s="3680"/>
      <c r="G38" s="456"/>
      <c r="H38" s="456"/>
      <c r="J38" s="440"/>
      <c r="K38" s="440"/>
      <c r="L38" s="440"/>
      <c r="M38" s="440"/>
      <c r="N38" s="440"/>
      <c r="O38" s="457"/>
      <c r="P38" s="122"/>
      <c r="Q38" s="122"/>
    </row>
    <row r="39" spans="1:17" ht="102" customHeight="1" x14ac:dyDescent="0.5">
      <c r="A39" s="446"/>
      <c r="B39" s="3677" t="s">
        <v>894</v>
      </c>
      <c r="C39" s="446" t="s">
        <v>881</v>
      </c>
      <c r="D39" s="3679">
        <f>ROUND(84*(1-C49),2)</f>
        <v>84</v>
      </c>
      <c r="E39" s="3679"/>
      <c r="G39" s="456"/>
      <c r="H39" s="456"/>
      <c r="J39" s="440"/>
      <c r="K39" s="440"/>
      <c r="L39" s="440"/>
      <c r="M39" s="440"/>
      <c r="N39" s="440"/>
      <c r="O39" s="457"/>
      <c r="P39" s="122"/>
      <c r="Q39" s="122"/>
    </row>
    <row r="40" spans="1:17" ht="99.75" customHeight="1" x14ac:dyDescent="0.55000000000000004">
      <c r="A40" s="449"/>
      <c r="B40" s="3678"/>
      <c r="C40" s="450" t="s">
        <v>882</v>
      </c>
      <c r="D40" s="3680">
        <f>ROUND(89*(1-C49),2)</f>
        <v>89</v>
      </c>
      <c r="E40" s="3680"/>
      <c r="G40" s="458"/>
      <c r="H40" s="458"/>
      <c r="J40" s="440"/>
      <c r="K40" s="440"/>
      <c r="L40" s="440"/>
      <c r="M40" s="440"/>
      <c r="N40" s="440"/>
      <c r="O40" s="122"/>
      <c r="P40" s="122"/>
      <c r="Q40" s="122"/>
    </row>
    <row r="41" spans="1:17" ht="92.25" customHeight="1" x14ac:dyDescent="0.5">
      <c r="A41" s="446"/>
      <c r="B41" s="3677" t="s">
        <v>895</v>
      </c>
      <c r="C41" s="446" t="s">
        <v>881</v>
      </c>
      <c r="D41" s="3679">
        <f>ROUND(64*(1-C49),2)</f>
        <v>64</v>
      </c>
      <c r="E41" s="3679"/>
      <c r="F41" s="440"/>
      <c r="G41" s="459"/>
      <c r="H41" s="459"/>
      <c r="I41" s="440"/>
      <c r="J41" s="440"/>
      <c r="K41" s="440"/>
      <c r="L41" s="440"/>
      <c r="M41" s="440"/>
      <c r="N41" s="440"/>
      <c r="O41" s="122"/>
      <c r="P41" s="122"/>
      <c r="Q41" s="122"/>
    </row>
    <row r="42" spans="1:17" ht="91.5" customHeight="1" x14ac:dyDescent="0.55000000000000004">
      <c r="A42" s="449"/>
      <c r="B42" s="3678"/>
      <c r="C42" s="450" t="s">
        <v>882</v>
      </c>
      <c r="D42" s="3680">
        <f>ROUND(66*(1-C49),2)</f>
        <v>66</v>
      </c>
      <c r="E42" s="3680"/>
      <c r="H42" s="460"/>
      <c r="I42" s="461"/>
      <c r="J42" s="461"/>
      <c r="K42" s="461"/>
      <c r="L42" s="461"/>
      <c r="M42" s="461"/>
      <c r="N42" s="461"/>
      <c r="O42" s="123"/>
      <c r="P42" s="122"/>
      <c r="Q42" s="122"/>
    </row>
    <row r="43" spans="1:17" ht="44.25" x14ac:dyDescent="0.5">
      <c r="A43" s="376"/>
      <c r="B43" s="1443"/>
      <c r="C43" s="1439"/>
      <c r="D43" s="1440"/>
      <c r="E43" s="1440"/>
      <c r="H43" s="460"/>
      <c r="I43" s="461"/>
      <c r="J43" s="461"/>
      <c r="K43" s="461"/>
      <c r="L43" s="461"/>
      <c r="M43" s="461"/>
      <c r="N43" s="461"/>
      <c r="O43" s="123"/>
      <c r="P43" s="122"/>
      <c r="Q43" s="122"/>
    </row>
    <row r="44" spans="1:17" ht="44.25" x14ac:dyDescent="0.55000000000000004">
      <c r="A44" s="1460" t="s">
        <v>2259</v>
      </c>
      <c r="B44" s="462"/>
      <c r="C44" s="462"/>
      <c r="D44" s="462"/>
      <c r="E44" s="462"/>
      <c r="F44" s="440"/>
      <c r="G44" s="463"/>
      <c r="H44" s="440"/>
      <c r="I44" s="440"/>
      <c r="J44" s="440"/>
      <c r="K44" s="440"/>
      <c r="L44" s="440"/>
      <c r="M44" s="440"/>
      <c r="N44" s="440"/>
      <c r="O44" s="122"/>
      <c r="P44" s="122"/>
      <c r="Q44" s="122"/>
    </row>
    <row r="45" spans="1:17" ht="44.25" x14ac:dyDescent="0.55000000000000004">
      <c r="A45" s="377"/>
      <c r="B45" s="464"/>
      <c r="C45" s="464"/>
      <c r="D45" s="464"/>
      <c r="E45" s="464"/>
      <c r="F45" s="440"/>
      <c r="G45" s="463"/>
      <c r="H45" s="465"/>
      <c r="I45" s="465"/>
      <c r="J45" s="465"/>
      <c r="K45" s="465"/>
      <c r="L45" s="465"/>
      <c r="M45" s="465"/>
      <c r="N45" s="465"/>
      <c r="O45" s="122"/>
      <c r="P45" s="122"/>
      <c r="Q45" s="122"/>
    </row>
    <row r="46" spans="1:17" ht="44.25" x14ac:dyDescent="0.55000000000000004">
      <c r="A46" s="377"/>
      <c r="B46" s="464"/>
      <c r="C46" s="464"/>
      <c r="D46" s="464"/>
      <c r="E46" s="464"/>
      <c r="F46" s="440"/>
      <c r="G46" s="440"/>
      <c r="H46" s="466"/>
      <c r="I46" s="466"/>
      <c r="J46" s="466"/>
      <c r="K46" s="466"/>
      <c r="L46" s="466"/>
      <c r="M46" s="466"/>
      <c r="N46" s="466"/>
      <c r="O46" s="1"/>
      <c r="P46" s="47"/>
      <c r="Q46" s="122"/>
    </row>
    <row r="47" spans="1:17" ht="37.5" x14ac:dyDescent="0.5">
      <c r="A47" s="467"/>
      <c r="B47" s="440"/>
      <c r="C47" s="440"/>
      <c r="D47" s="440"/>
      <c r="E47" s="440"/>
      <c r="F47" s="440"/>
      <c r="G47" s="440"/>
      <c r="H47" s="440"/>
      <c r="I47" s="440"/>
      <c r="J47" s="440"/>
      <c r="K47" s="440"/>
      <c r="L47" s="440"/>
      <c r="M47" s="440"/>
      <c r="N47" s="440"/>
      <c r="O47" s="122"/>
      <c r="P47" s="122"/>
      <c r="Q47" s="122"/>
    </row>
    <row r="48" spans="1:17" ht="56.25" customHeight="1" x14ac:dyDescent="0.5">
      <c r="A48" s="3665" t="s">
        <v>66</v>
      </c>
      <c r="B48" s="3666"/>
      <c r="C48" s="3671" t="s">
        <v>878</v>
      </c>
      <c r="D48" s="3671"/>
      <c r="F48" s="440"/>
      <c r="G48" s="440"/>
      <c r="H48" s="459"/>
      <c r="I48" s="440"/>
      <c r="J48" s="440"/>
      <c r="K48" s="440"/>
      <c r="L48" s="440"/>
      <c r="M48" s="440"/>
      <c r="N48" s="440"/>
      <c r="O48" s="122"/>
      <c r="P48" s="122"/>
      <c r="Q48" s="122"/>
    </row>
    <row r="49" spans="1:17" ht="37.5" customHeight="1" x14ac:dyDescent="0.5">
      <c r="A49" s="3667"/>
      <c r="B49" s="3668"/>
      <c r="C49" s="3672">
        <v>0</v>
      </c>
      <c r="D49" s="3673"/>
      <c r="F49" s="378"/>
      <c r="G49" s="378"/>
      <c r="H49" s="459"/>
      <c r="I49" s="440"/>
      <c r="J49" s="440"/>
      <c r="K49" s="440"/>
      <c r="L49" s="440"/>
      <c r="M49" s="440"/>
      <c r="N49" s="440"/>
      <c r="O49" s="122"/>
      <c r="P49" s="122"/>
      <c r="Q49" s="122"/>
    </row>
    <row r="50" spans="1:17" ht="20.25" customHeight="1" x14ac:dyDescent="0.5">
      <c r="A50" s="3669"/>
      <c r="B50" s="3670"/>
      <c r="C50" s="3674"/>
      <c r="D50" s="3675"/>
      <c r="F50" s="440"/>
      <c r="G50" s="440"/>
      <c r="H50" s="459"/>
      <c r="I50" s="440"/>
      <c r="J50" s="440"/>
      <c r="K50" s="440"/>
      <c r="L50" s="440"/>
      <c r="M50" s="440"/>
      <c r="N50" s="440"/>
      <c r="O50" s="122"/>
      <c r="P50" s="122"/>
      <c r="Q50" s="122"/>
    </row>
    <row r="51" spans="1:17" ht="65.25" customHeight="1" x14ac:dyDescent="0.5">
      <c r="D51" s="468"/>
      <c r="E51" s="469"/>
      <c r="F51" s="443"/>
      <c r="G51" s="381"/>
      <c r="H51" s="459"/>
      <c r="I51" s="440"/>
      <c r="J51" s="440"/>
      <c r="K51" s="440"/>
      <c r="L51" s="440"/>
      <c r="M51" s="440"/>
      <c r="N51" s="440"/>
      <c r="O51" s="122"/>
      <c r="P51" s="122"/>
      <c r="Q51" s="122"/>
    </row>
    <row r="52" spans="1:17" ht="50.25" customHeight="1" x14ac:dyDescent="0.5">
      <c r="D52" s="468"/>
      <c r="E52" s="3676"/>
      <c r="F52" s="443"/>
      <c r="G52" s="383"/>
      <c r="H52" s="440"/>
      <c r="I52" s="440"/>
      <c r="J52" s="440"/>
      <c r="K52" s="440"/>
      <c r="L52" s="440"/>
      <c r="M52" s="440"/>
      <c r="N52" s="440"/>
      <c r="O52" s="122"/>
      <c r="P52" s="122"/>
      <c r="Q52" s="122"/>
    </row>
    <row r="53" spans="1:17" ht="24" customHeight="1" x14ac:dyDescent="0.3">
      <c r="D53" s="468"/>
      <c r="E53" s="3676"/>
      <c r="F53" s="443"/>
      <c r="G53" s="383"/>
      <c r="H53" s="122"/>
      <c r="I53" s="122"/>
      <c r="J53" s="122"/>
      <c r="K53" s="122"/>
      <c r="L53" s="122"/>
      <c r="M53" s="122"/>
      <c r="N53" s="122"/>
      <c r="O53" s="122"/>
      <c r="P53" s="122"/>
      <c r="Q53" s="122"/>
    </row>
    <row r="54" spans="1:17" ht="31.5" customHeight="1" x14ac:dyDescent="0.3">
      <c r="D54" s="468"/>
      <c r="E54" s="3676"/>
      <c r="F54" s="443"/>
      <c r="G54" s="383"/>
      <c r="H54" s="122"/>
      <c r="I54" s="122"/>
      <c r="J54" s="122"/>
      <c r="K54" s="122"/>
      <c r="L54" s="122"/>
      <c r="M54" s="122"/>
      <c r="N54" s="122"/>
      <c r="O54" s="122"/>
      <c r="P54" s="122"/>
      <c r="Q54" s="122"/>
    </row>
    <row r="55" spans="1:17" ht="20.25" x14ac:dyDescent="0.3">
      <c r="F55" s="122"/>
      <c r="G55" s="122"/>
      <c r="H55" s="122"/>
      <c r="I55" s="122"/>
      <c r="J55" s="122"/>
      <c r="K55" s="122"/>
      <c r="L55" s="122"/>
      <c r="M55" s="122"/>
      <c r="N55" s="122"/>
      <c r="O55" s="122"/>
      <c r="P55" s="122"/>
      <c r="Q55" s="122"/>
    </row>
  </sheetData>
  <mergeCells count="50">
    <mergeCell ref="A12:E12"/>
    <mergeCell ref="C13:E13"/>
    <mergeCell ref="A14:A15"/>
    <mergeCell ref="B14:B15"/>
    <mergeCell ref="C14:C15"/>
    <mergeCell ref="D14:E15"/>
    <mergeCell ref="B16:B17"/>
    <mergeCell ref="D16:E16"/>
    <mergeCell ref="D17:E17"/>
    <mergeCell ref="B18:B19"/>
    <mergeCell ref="D18:E18"/>
    <mergeCell ref="D19:E19"/>
    <mergeCell ref="B20:B21"/>
    <mergeCell ref="D20:E20"/>
    <mergeCell ref="D21:E21"/>
    <mergeCell ref="B22:B23"/>
    <mergeCell ref="D22:E22"/>
    <mergeCell ref="D23:E23"/>
    <mergeCell ref="B35:B36"/>
    <mergeCell ref="D35:E35"/>
    <mergeCell ref="D36:E36"/>
    <mergeCell ref="B24:B25"/>
    <mergeCell ref="D24:E24"/>
    <mergeCell ref="D25:E25"/>
    <mergeCell ref="B26:B27"/>
    <mergeCell ref="D26:E26"/>
    <mergeCell ref="D27:E27"/>
    <mergeCell ref="D29:E29"/>
    <mergeCell ref="D30:E30"/>
    <mergeCell ref="B33:B34"/>
    <mergeCell ref="D33:E33"/>
    <mergeCell ref="D34:E34"/>
    <mergeCell ref="D31:E32"/>
    <mergeCell ref="B31:B32"/>
    <mergeCell ref="A1:E11"/>
    <mergeCell ref="A48:B50"/>
    <mergeCell ref="C48:D48"/>
    <mergeCell ref="C49:D50"/>
    <mergeCell ref="E52:E54"/>
    <mergeCell ref="B39:B40"/>
    <mergeCell ref="D39:E39"/>
    <mergeCell ref="D40:E40"/>
    <mergeCell ref="B41:B42"/>
    <mergeCell ref="D41:E41"/>
    <mergeCell ref="D42:E42"/>
    <mergeCell ref="B37:B38"/>
    <mergeCell ref="D37:E37"/>
    <mergeCell ref="D38:E38"/>
    <mergeCell ref="B28:B29"/>
    <mergeCell ref="D28:E28"/>
  </mergeCells>
  <printOptions horizontalCentered="1"/>
  <pageMargins left="0" right="0" top="0" bottom="0" header="0" footer="0"/>
  <pageSetup paperSize="9" scale="26" orientation="portrait" r:id="rId1"/>
  <headerFooter>
    <oddFooter>&amp;R&amp;36Стр. &amp;P из  &amp;N
&amp;A</oddFoot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24"/>
  <dimension ref="A1:N72"/>
  <sheetViews>
    <sheetView showGridLines="0" topLeftCell="A37" zoomScale="60" zoomScaleNormal="60" workbookViewId="0">
      <selection sqref="A1:C2"/>
    </sheetView>
  </sheetViews>
  <sheetFormatPr defaultRowHeight="12.75" x14ac:dyDescent="0.2"/>
  <cols>
    <col min="1" max="1" width="44.42578125" style="397" customWidth="1"/>
    <col min="2" max="2" width="37.5703125" style="396" customWidth="1"/>
    <col min="3" max="3" width="17.28515625" style="396" customWidth="1"/>
    <col min="4" max="4" width="13.85546875" style="396" customWidth="1"/>
    <col min="5" max="5" width="15" style="396" customWidth="1"/>
    <col min="6" max="6" width="15.28515625" style="396" customWidth="1"/>
    <col min="7" max="7" width="41.42578125" style="396" customWidth="1"/>
    <col min="8" max="8" width="19.28515625" style="396" customWidth="1"/>
    <col min="9" max="9" width="28" style="396" customWidth="1"/>
    <col min="10" max="10" width="18.7109375" style="396" customWidth="1"/>
    <col min="11" max="11" width="13.28515625" style="396" customWidth="1"/>
    <col min="12" max="12" width="17" style="396" customWidth="1"/>
    <col min="13" max="13" width="20" style="396" customWidth="1"/>
    <col min="14" max="14" width="23.28515625" style="396" customWidth="1"/>
    <col min="15" max="16384" width="9.140625" style="396"/>
  </cols>
  <sheetData>
    <row r="1" spans="1:14" x14ac:dyDescent="0.2">
      <c r="A1" s="3708"/>
      <c r="B1" s="3708"/>
      <c r="C1" s="3708"/>
      <c r="D1" s="3708"/>
      <c r="E1" s="3708"/>
      <c r="F1" s="3708"/>
      <c r="G1" s="3708"/>
      <c r="H1" s="3708"/>
      <c r="I1" s="3708"/>
      <c r="J1" s="3708"/>
      <c r="K1" s="3708"/>
      <c r="L1" s="3708"/>
      <c r="M1" s="3708"/>
      <c r="N1" s="3708"/>
    </row>
    <row r="2" spans="1:14" x14ac:dyDescent="0.2">
      <c r="A2" s="3708"/>
      <c r="B2" s="3708"/>
      <c r="C2" s="3708"/>
      <c r="D2" s="3708"/>
      <c r="E2" s="3708"/>
      <c r="F2" s="3708"/>
      <c r="G2" s="3708"/>
      <c r="H2" s="3708"/>
      <c r="I2" s="3708"/>
      <c r="J2" s="3708"/>
      <c r="K2" s="3708"/>
      <c r="L2" s="3708"/>
      <c r="M2" s="3708"/>
      <c r="N2" s="3708"/>
    </row>
    <row r="3" spans="1:14" x14ac:dyDescent="0.2">
      <c r="A3" s="3708"/>
      <c r="B3" s="3708"/>
      <c r="C3" s="3708"/>
      <c r="D3" s="3708"/>
      <c r="E3" s="3708"/>
      <c r="F3" s="3708"/>
      <c r="G3" s="3708"/>
      <c r="H3" s="3708"/>
      <c r="I3" s="3708"/>
      <c r="J3" s="3708"/>
      <c r="K3" s="3708"/>
      <c r="L3" s="3708"/>
      <c r="M3" s="3708"/>
      <c r="N3" s="3708"/>
    </row>
    <row r="4" spans="1:14" x14ac:dyDescent="0.2">
      <c r="A4" s="3708"/>
      <c r="B4" s="3708"/>
      <c r="C4" s="3708"/>
      <c r="D4" s="3708"/>
      <c r="E4" s="3708"/>
      <c r="F4" s="3708"/>
      <c r="G4" s="3708"/>
      <c r="H4" s="3708"/>
      <c r="I4" s="3708"/>
      <c r="J4" s="3708"/>
      <c r="K4" s="3708"/>
      <c r="L4" s="3708"/>
      <c r="M4" s="3708"/>
      <c r="N4" s="3708"/>
    </row>
    <row r="5" spans="1:14" x14ac:dyDescent="0.2">
      <c r="A5" s="3708"/>
      <c r="B5" s="3708"/>
      <c r="C5" s="3708"/>
      <c r="D5" s="3708"/>
      <c r="E5" s="3708"/>
      <c r="F5" s="3708"/>
      <c r="G5" s="3708"/>
      <c r="H5" s="3708"/>
      <c r="I5" s="3708"/>
      <c r="J5" s="3708"/>
      <c r="K5" s="3708"/>
      <c r="L5" s="3708"/>
      <c r="M5" s="3708"/>
      <c r="N5" s="3708"/>
    </row>
    <row r="6" spans="1:14" ht="45.75" customHeight="1" thickBot="1" x14ac:dyDescent="0.25">
      <c r="A6" s="3709"/>
      <c r="B6" s="3709"/>
      <c r="C6" s="3709"/>
      <c r="D6" s="3709"/>
      <c r="E6" s="3709"/>
      <c r="F6" s="3709"/>
      <c r="G6" s="3709"/>
      <c r="H6" s="3709"/>
      <c r="I6" s="3709"/>
      <c r="J6" s="3709"/>
      <c r="K6" s="3709"/>
      <c r="L6" s="3709"/>
      <c r="M6" s="3709"/>
      <c r="N6" s="3709"/>
    </row>
    <row r="7" spans="1:14" ht="21" customHeight="1" x14ac:dyDescent="0.4">
      <c r="A7" s="3779" t="s">
        <v>3389</v>
      </c>
      <c r="B7" s="3779"/>
      <c r="C7" s="3779"/>
      <c r="D7" s="3779"/>
      <c r="E7" s="3779"/>
      <c r="F7" s="3779"/>
      <c r="G7" s="3779"/>
      <c r="H7" s="3779"/>
      <c r="I7" s="3779"/>
      <c r="J7" s="3779"/>
      <c r="K7" s="3779"/>
      <c r="L7" s="3779"/>
      <c r="M7" s="3779"/>
      <c r="N7" s="121"/>
    </row>
    <row r="8" spans="1:14" ht="17.25" customHeight="1" x14ac:dyDescent="0.2">
      <c r="A8" s="2307"/>
      <c r="K8" s="2308" t="s">
        <v>1</v>
      </c>
      <c r="M8" s="2309">
        <v>42508</v>
      </c>
    </row>
    <row r="9" spans="1:14" ht="35.25" customHeight="1" x14ac:dyDescent="0.2">
      <c r="A9" s="470" t="s">
        <v>399</v>
      </c>
      <c r="B9" s="3729" t="s">
        <v>897</v>
      </c>
      <c r="C9" s="3730"/>
      <c r="D9" s="3729" t="s">
        <v>3388</v>
      </c>
      <c r="E9" s="3730"/>
      <c r="F9" s="471" t="s">
        <v>900</v>
      </c>
      <c r="G9" s="471" t="s">
        <v>399</v>
      </c>
      <c r="H9" s="2256"/>
      <c r="I9" s="3727" t="s">
        <v>897</v>
      </c>
      <c r="J9" s="3728"/>
      <c r="K9" s="3727" t="s">
        <v>103</v>
      </c>
      <c r="L9" s="3728"/>
      <c r="M9" s="3727" t="s">
        <v>900</v>
      </c>
      <c r="N9" s="3728"/>
    </row>
    <row r="10" spans="1:14" ht="26.25" customHeight="1" x14ac:dyDescent="0.2">
      <c r="A10" s="3783" t="s">
        <v>3377</v>
      </c>
      <c r="B10" s="3731" t="s">
        <v>3380</v>
      </c>
      <c r="C10" s="3732"/>
      <c r="D10" s="3791" t="s">
        <v>3404</v>
      </c>
      <c r="E10" s="3792"/>
      <c r="F10" s="3697">
        <f>ROUND(527*(1-H71),2)</f>
        <v>527</v>
      </c>
      <c r="G10" s="2314" t="s">
        <v>228</v>
      </c>
      <c r="H10" s="2264" t="s">
        <v>17</v>
      </c>
      <c r="I10" s="3700" t="s">
        <v>17</v>
      </c>
      <c r="J10" s="3701"/>
      <c r="K10" s="3700" t="s">
        <v>3408</v>
      </c>
      <c r="L10" s="3701"/>
      <c r="M10" s="3700">
        <f>ROUND(336*(1-H71),2)</f>
        <v>336</v>
      </c>
      <c r="N10" s="3701"/>
    </row>
    <row r="11" spans="1:14" ht="27" customHeight="1" x14ac:dyDescent="0.2">
      <c r="A11" s="3783"/>
      <c r="B11" s="3733"/>
      <c r="C11" s="3734"/>
      <c r="D11" s="3793"/>
      <c r="E11" s="3794"/>
      <c r="F11" s="3698"/>
      <c r="G11" s="2314" t="s">
        <v>3383</v>
      </c>
      <c r="H11" s="2264" t="s">
        <v>17</v>
      </c>
      <c r="I11" s="3785" t="s">
        <v>3387</v>
      </c>
      <c r="J11" s="3701"/>
      <c r="K11" s="3700" t="s">
        <v>3407</v>
      </c>
      <c r="L11" s="3701"/>
      <c r="M11" s="3700">
        <f>ROUND(336*(1-H71),2)</f>
        <v>336</v>
      </c>
      <c r="N11" s="3701"/>
    </row>
    <row r="12" spans="1:14" ht="36" customHeight="1" x14ac:dyDescent="0.2">
      <c r="A12" s="3783"/>
      <c r="B12" s="3735"/>
      <c r="C12" s="3736"/>
      <c r="D12" s="3795"/>
      <c r="E12" s="3796"/>
      <c r="F12" s="3699"/>
      <c r="G12" s="3704" t="s">
        <v>3382</v>
      </c>
      <c r="H12" s="2264" t="s">
        <v>3385</v>
      </c>
      <c r="I12" s="3706" t="s">
        <v>3380</v>
      </c>
      <c r="J12" s="3707"/>
      <c r="K12" s="3787" t="s">
        <v>3405</v>
      </c>
      <c r="L12" s="3788"/>
      <c r="M12" s="3787">
        <f>ROUND(444*(1-H71),2)</f>
        <v>444</v>
      </c>
      <c r="N12" s="3788"/>
    </row>
    <row r="13" spans="1:14" ht="34.5" customHeight="1" x14ac:dyDescent="0.2">
      <c r="A13" s="3783" t="s">
        <v>3378</v>
      </c>
      <c r="B13" s="3731" t="s">
        <v>3381</v>
      </c>
      <c r="C13" s="3732"/>
      <c r="D13" s="3791" t="s">
        <v>3404</v>
      </c>
      <c r="E13" s="3792"/>
      <c r="F13" s="3697">
        <f>ROUND(527*(1-H71),2)</f>
        <v>527</v>
      </c>
      <c r="G13" s="3705"/>
      <c r="H13" s="2264" t="s">
        <v>3386</v>
      </c>
      <c r="I13" s="3706" t="s">
        <v>3381</v>
      </c>
      <c r="J13" s="3707"/>
      <c r="K13" s="3789"/>
      <c r="L13" s="3790"/>
      <c r="M13" s="3789"/>
      <c r="N13" s="3790"/>
    </row>
    <row r="14" spans="1:14" ht="34.5" customHeight="1" x14ac:dyDescent="0.2">
      <c r="A14" s="3783"/>
      <c r="B14" s="3733"/>
      <c r="C14" s="3734"/>
      <c r="D14" s="3793"/>
      <c r="E14" s="3794"/>
      <c r="F14" s="3698"/>
      <c r="G14" s="3702" t="s">
        <v>3384</v>
      </c>
      <c r="H14" s="2264" t="s">
        <v>3385</v>
      </c>
      <c r="I14" s="3706" t="s">
        <v>3380</v>
      </c>
      <c r="J14" s="3707"/>
      <c r="K14" s="3787" t="s">
        <v>3406</v>
      </c>
      <c r="L14" s="3788"/>
      <c r="M14" s="3714">
        <f>ROUND(444*(1-H71),2)</f>
        <v>444</v>
      </c>
      <c r="N14" s="3714"/>
    </row>
    <row r="15" spans="1:14" ht="35.25" customHeight="1" x14ac:dyDescent="0.2">
      <c r="A15" s="3784"/>
      <c r="B15" s="3733"/>
      <c r="C15" s="3734"/>
      <c r="D15" s="3795"/>
      <c r="E15" s="3796"/>
      <c r="F15" s="3698"/>
      <c r="G15" s="3703"/>
      <c r="H15" s="2315" t="s">
        <v>3386</v>
      </c>
      <c r="I15" s="3695" t="s">
        <v>3381</v>
      </c>
      <c r="J15" s="3696"/>
      <c r="K15" s="3789"/>
      <c r="L15" s="3790"/>
      <c r="M15" s="3714"/>
      <c r="N15" s="3714"/>
    </row>
    <row r="16" spans="1:14" ht="18" x14ac:dyDescent="0.2">
      <c r="A16" s="2321"/>
      <c r="B16" s="2322"/>
      <c r="C16" s="2322"/>
      <c r="D16" s="2323"/>
      <c r="E16" s="2324"/>
      <c r="F16" s="2324"/>
      <c r="G16" s="2317"/>
      <c r="H16" s="2318"/>
      <c r="I16" s="2319"/>
      <c r="J16" s="2319"/>
      <c r="K16" s="2308" t="s">
        <v>1</v>
      </c>
      <c r="L16" s="2320"/>
      <c r="M16" s="2309">
        <v>42139</v>
      </c>
      <c r="N16" s="2316"/>
    </row>
    <row r="17" spans="1:14" ht="20.25" x14ac:dyDescent="0.2">
      <c r="A17" s="3758" t="s">
        <v>901</v>
      </c>
      <c r="B17" s="3758"/>
      <c r="C17" s="3758"/>
      <c r="D17" s="3758"/>
      <c r="E17" s="3758"/>
      <c r="F17" s="3758"/>
      <c r="G17" s="3780" t="s">
        <v>902</v>
      </c>
      <c r="H17" s="3780"/>
      <c r="I17" s="3780"/>
      <c r="J17" s="3780"/>
      <c r="K17" s="3780"/>
      <c r="L17" s="3780"/>
      <c r="M17" s="3780"/>
      <c r="N17" s="3780"/>
    </row>
    <row r="18" spans="1:14" s="472" customFormat="1" ht="35.25" customHeight="1" x14ac:dyDescent="0.2">
      <c r="A18" s="470" t="s">
        <v>896</v>
      </c>
      <c r="B18" s="470" t="s">
        <v>897</v>
      </c>
      <c r="C18" s="471" t="s">
        <v>898</v>
      </c>
      <c r="D18" s="471" t="s">
        <v>899</v>
      </c>
      <c r="E18" s="470" t="s">
        <v>103</v>
      </c>
      <c r="F18" s="471" t="s">
        <v>900</v>
      </c>
      <c r="G18" s="471" t="s">
        <v>896</v>
      </c>
      <c r="H18" s="471"/>
      <c r="I18" s="471" t="s">
        <v>897</v>
      </c>
      <c r="J18" s="471" t="s">
        <v>898</v>
      </c>
      <c r="K18" s="471" t="s">
        <v>899</v>
      </c>
      <c r="L18" s="471" t="s">
        <v>103</v>
      </c>
      <c r="M18" s="3727" t="s">
        <v>900</v>
      </c>
      <c r="N18" s="3728"/>
    </row>
    <row r="19" spans="1:14" ht="22.5" customHeight="1" x14ac:dyDescent="0.2">
      <c r="A19" s="3760" t="s">
        <v>903</v>
      </c>
      <c r="B19" s="473" t="s">
        <v>881</v>
      </c>
      <c r="C19" s="3715" t="s">
        <v>904</v>
      </c>
      <c r="D19" s="3713">
        <v>10</v>
      </c>
      <c r="E19" s="3715" t="s">
        <v>905</v>
      </c>
      <c r="F19" s="3717">
        <f>ROUND(530*(1-B71),2)</f>
        <v>530</v>
      </c>
      <c r="G19" s="3766" t="s">
        <v>906</v>
      </c>
      <c r="H19" s="2257"/>
      <c r="I19" s="1463" t="s">
        <v>881</v>
      </c>
      <c r="J19" s="3715" t="s">
        <v>908</v>
      </c>
      <c r="K19" s="3715">
        <v>30</v>
      </c>
      <c r="L19" s="3715" t="s">
        <v>909</v>
      </c>
      <c r="M19" s="3772">
        <f>ROUND(210*(1-E71),2)</f>
        <v>210</v>
      </c>
      <c r="N19" s="3773"/>
    </row>
    <row r="20" spans="1:14" ht="22.5" customHeight="1" x14ac:dyDescent="0.2">
      <c r="A20" s="3761"/>
      <c r="B20" s="474" t="s">
        <v>910</v>
      </c>
      <c r="C20" s="3715"/>
      <c r="D20" s="3713"/>
      <c r="E20" s="3715"/>
      <c r="F20" s="3717"/>
      <c r="G20" s="3766"/>
      <c r="H20" s="2258"/>
      <c r="I20" s="475" t="s">
        <v>907</v>
      </c>
      <c r="J20" s="3715"/>
      <c r="K20" s="3715"/>
      <c r="L20" s="3715"/>
      <c r="M20" s="3781"/>
      <c r="N20" s="3782"/>
    </row>
    <row r="21" spans="1:14" ht="22.5" customHeight="1" x14ac:dyDescent="0.2">
      <c r="A21" s="3761"/>
      <c r="B21" s="474" t="s">
        <v>911</v>
      </c>
      <c r="C21" s="3715"/>
      <c r="D21" s="3713"/>
      <c r="E21" s="3715"/>
      <c r="F21" s="3717"/>
      <c r="G21" s="3766"/>
      <c r="H21" s="2258"/>
      <c r="I21" s="475" t="s">
        <v>910</v>
      </c>
      <c r="J21" s="3715"/>
      <c r="K21" s="3715"/>
      <c r="L21" s="3715"/>
      <c r="M21" s="3781"/>
      <c r="N21" s="3782"/>
    </row>
    <row r="22" spans="1:14" ht="22.5" customHeight="1" x14ac:dyDescent="0.2">
      <c r="A22" s="3761"/>
      <c r="B22" s="474" t="s">
        <v>912</v>
      </c>
      <c r="C22" s="3715"/>
      <c r="D22" s="3713"/>
      <c r="E22" s="3715"/>
      <c r="F22" s="3717"/>
      <c r="G22" s="3766"/>
      <c r="H22" s="2259"/>
      <c r="I22" s="476" t="s">
        <v>911</v>
      </c>
      <c r="J22" s="3715"/>
      <c r="K22" s="3715"/>
      <c r="L22" s="3715"/>
      <c r="M22" s="3774"/>
      <c r="N22" s="3775"/>
    </row>
    <row r="23" spans="1:14" ht="22.5" customHeight="1" x14ac:dyDescent="0.2">
      <c r="A23" s="3761"/>
      <c r="B23" s="474" t="s">
        <v>913</v>
      </c>
      <c r="C23" s="3715"/>
      <c r="D23" s="3713"/>
      <c r="E23" s="3715"/>
      <c r="F23" s="3717"/>
      <c r="G23" s="3766"/>
      <c r="H23" s="2260"/>
      <c r="I23" s="477" t="s">
        <v>914</v>
      </c>
      <c r="J23" s="3715"/>
      <c r="K23" s="3715"/>
      <c r="L23" s="3715"/>
      <c r="M23" s="3797">
        <f>ROUND(300*(1-E71),2)</f>
        <v>300</v>
      </c>
      <c r="N23" s="3798"/>
    </row>
    <row r="24" spans="1:14" ht="22.5" customHeight="1" x14ac:dyDescent="0.2">
      <c r="A24" s="3762"/>
      <c r="B24" s="478" t="s">
        <v>914</v>
      </c>
      <c r="C24" s="3715"/>
      <c r="D24" s="3713"/>
      <c r="E24" s="3715"/>
      <c r="F24" s="3717"/>
      <c r="G24" s="3766" t="s">
        <v>915</v>
      </c>
      <c r="H24" s="2257"/>
      <c r="I24" s="479" t="s">
        <v>881</v>
      </c>
      <c r="J24" s="3715" t="s">
        <v>908</v>
      </c>
      <c r="K24" s="3715">
        <v>24</v>
      </c>
      <c r="L24" s="3715" t="s">
        <v>909</v>
      </c>
      <c r="M24" s="3772">
        <f>ROUND(300*(1-E71),2)</f>
        <v>300</v>
      </c>
      <c r="N24" s="3773"/>
    </row>
    <row r="25" spans="1:14" ht="22.5" customHeight="1" x14ac:dyDescent="0.2">
      <c r="A25" s="3766" t="s">
        <v>916</v>
      </c>
      <c r="B25" s="473" t="s">
        <v>881</v>
      </c>
      <c r="C25" s="3715" t="s">
        <v>904</v>
      </c>
      <c r="D25" s="3713">
        <v>10</v>
      </c>
      <c r="E25" s="3715" t="s">
        <v>905</v>
      </c>
      <c r="F25" s="3717">
        <f>ROUND(530*(1-B71),2)</f>
        <v>530</v>
      </c>
      <c r="G25" s="3766"/>
      <c r="H25" s="2258"/>
      <c r="I25" s="475" t="s">
        <v>910</v>
      </c>
      <c r="J25" s="3715"/>
      <c r="K25" s="3715"/>
      <c r="L25" s="3715"/>
      <c r="M25" s="3781"/>
      <c r="N25" s="3782"/>
    </row>
    <row r="26" spans="1:14" ht="22.5" customHeight="1" x14ac:dyDescent="0.2">
      <c r="A26" s="3766"/>
      <c r="B26" s="474" t="s">
        <v>910</v>
      </c>
      <c r="C26" s="3715"/>
      <c r="D26" s="3713"/>
      <c r="E26" s="3715"/>
      <c r="F26" s="3717"/>
      <c r="G26" s="3766"/>
      <c r="H26" s="2259"/>
      <c r="I26" s="476" t="s">
        <v>911</v>
      </c>
      <c r="J26" s="3715"/>
      <c r="K26" s="3715"/>
      <c r="L26" s="3715"/>
      <c r="M26" s="3774"/>
      <c r="N26" s="3775"/>
    </row>
    <row r="27" spans="1:14" ht="22.5" customHeight="1" x14ac:dyDescent="0.2">
      <c r="A27" s="3766"/>
      <c r="B27" s="474" t="s">
        <v>911</v>
      </c>
      <c r="C27" s="3715"/>
      <c r="D27" s="3713"/>
      <c r="E27" s="3715"/>
      <c r="F27" s="3717"/>
      <c r="G27" s="3766" t="s">
        <v>917</v>
      </c>
      <c r="H27" s="2257"/>
      <c r="I27" s="3770" t="s">
        <v>881</v>
      </c>
      <c r="J27" s="3715" t="s">
        <v>918</v>
      </c>
      <c r="K27" s="3715">
        <v>36</v>
      </c>
      <c r="L27" s="3715" t="s">
        <v>909</v>
      </c>
      <c r="M27" s="3772">
        <f>ROUND(200*(1-G71),2)</f>
        <v>200</v>
      </c>
      <c r="N27" s="3773"/>
    </row>
    <row r="28" spans="1:14" ht="22.5" customHeight="1" x14ac:dyDescent="0.2">
      <c r="A28" s="3766"/>
      <c r="B28" s="474" t="s">
        <v>912</v>
      </c>
      <c r="C28" s="3715"/>
      <c r="D28" s="3713"/>
      <c r="E28" s="3715"/>
      <c r="F28" s="3717"/>
      <c r="G28" s="3766"/>
      <c r="H28" s="2259"/>
      <c r="I28" s="3771"/>
      <c r="J28" s="3715"/>
      <c r="K28" s="3715"/>
      <c r="L28" s="3715"/>
      <c r="M28" s="3774"/>
      <c r="N28" s="3775"/>
    </row>
    <row r="29" spans="1:14" ht="36.75" customHeight="1" x14ac:dyDescent="0.2">
      <c r="A29" s="3766"/>
      <c r="B29" s="474" t="s">
        <v>913</v>
      </c>
      <c r="C29" s="3715"/>
      <c r="D29" s="3713"/>
      <c r="E29" s="3715"/>
      <c r="F29" s="3717"/>
      <c r="G29" s="480" t="s">
        <v>919</v>
      </c>
      <c r="H29" s="480"/>
      <c r="I29" s="1640" t="s">
        <v>17</v>
      </c>
      <c r="J29" s="481" t="s">
        <v>17</v>
      </c>
      <c r="K29" s="481">
        <v>60</v>
      </c>
      <c r="L29" s="481" t="s">
        <v>17</v>
      </c>
      <c r="M29" s="3706">
        <f>ROUND(10*(1-C71),2)</f>
        <v>10</v>
      </c>
      <c r="N29" s="3707"/>
    </row>
    <row r="30" spans="1:14" ht="22.5" customHeight="1" x14ac:dyDescent="0.2">
      <c r="A30" s="3766"/>
      <c r="B30" s="478" t="s">
        <v>914</v>
      </c>
      <c r="C30" s="3715"/>
      <c r="D30" s="3713"/>
      <c r="E30" s="3715"/>
      <c r="F30" s="3717"/>
      <c r="G30" s="482" t="s">
        <v>920</v>
      </c>
      <c r="H30" s="482"/>
      <c r="I30" s="1640" t="s">
        <v>17</v>
      </c>
      <c r="J30" s="481" t="s">
        <v>17</v>
      </c>
      <c r="K30" s="481">
        <v>23</v>
      </c>
      <c r="L30" s="481" t="s">
        <v>17</v>
      </c>
      <c r="M30" s="3706">
        <f>ROUND(10*(1-C71),2)</f>
        <v>10</v>
      </c>
      <c r="N30" s="3707"/>
    </row>
    <row r="31" spans="1:14" ht="27" customHeight="1" x14ac:dyDescent="0.2">
      <c r="A31" s="3766" t="s">
        <v>921</v>
      </c>
      <c r="B31" s="473" t="s">
        <v>881</v>
      </c>
      <c r="C31" s="3715" t="s">
        <v>904</v>
      </c>
      <c r="D31" s="3713">
        <v>10</v>
      </c>
      <c r="E31" s="3715" t="s">
        <v>905</v>
      </c>
      <c r="F31" s="3717">
        <f>ROUND(530*(1-B71),2)</f>
        <v>530</v>
      </c>
      <c r="G31" s="3741" t="s">
        <v>922</v>
      </c>
      <c r="H31" s="2263"/>
      <c r="I31" s="483" t="s">
        <v>911</v>
      </c>
      <c r="J31" s="3776" t="s">
        <v>923</v>
      </c>
      <c r="K31" s="3746">
        <v>16</v>
      </c>
      <c r="L31" s="3776" t="s">
        <v>3379</v>
      </c>
      <c r="M31" s="3721">
        <f>ROUND(500*(1-C71),2)</f>
        <v>500</v>
      </c>
      <c r="N31" s="3722"/>
    </row>
    <row r="32" spans="1:14" ht="27" customHeight="1" x14ac:dyDescent="0.2">
      <c r="A32" s="3766"/>
      <c r="B32" s="474" t="s">
        <v>924</v>
      </c>
      <c r="C32" s="3715"/>
      <c r="D32" s="3713"/>
      <c r="E32" s="3715"/>
      <c r="F32" s="3717"/>
      <c r="G32" s="3742"/>
      <c r="H32" s="2261"/>
      <c r="I32" s="484" t="s">
        <v>881</v>
      </c>
      <c r="J32" s="3777"/>
      <c r="K32" s="3747"/>
      <c r="L32" s="3777"/>
      <c r="M32" s="3723"/>
      <c r="N32" s="3724"/>
    </row>
    <row r="33" spans="1:14" ht="27" customHeight="1" x14ac:dyDescent="0.2">
      <c r="A33" s="3766"/>
      <c r="B33" s="478" t="s">
        <v>925</v>
      </c>
      <c r="C33" s="3715"/>
      <c r="D33" s="3713"/>
      <c r="E33" s="3715"/>
      <c r="F33" s="3717"/>
      <c r="G33" s="3742"/>
      <c r="H33" s="2261"/>
      <c r="I33" s="484" t="s">
        <v>926</v>
      </c>
      <c r="J33" s="3777"/>
      <c r="K33" s="3747"/>
      <c r="L33" s="3777"/>
      <c r="M33" s="3723"/>
      <c r="N33" s="3724"/>
    </row>
    <row r="34" spans="1:14" ht="27" customHeight="1" x14ac:dyDescent="0.2">
      <c r="A34" s="3766"/>
      <c r="B34" s="478" t="s">
        <v>914</v>
      </c>
      <c r="C34" s="3715"/>
      <c r="D34" s="3713"/>
      <c r="E34" s="3715"/>
      <c r="F34" s="1296">
        <f>ROUND(570*(1-B71),2)</f>
        <v>570</v>
      </c>
      <c r="G34" s="3742"/>
      <c r="H34" s="2261"/>
      <c r="I34" s="484" t="s">
        <v>913</v>
      </c>
      <c r="J34" s="3777"/>
      <c r="K34" s="3747"/>
      <c r="L34" s="3777"/>
      <c r="M34" s="3723"/>
      <c r="N34" s="3724"/>
    </row>
    <row r="35" spans="1:14" ht="27" customHeight="1" x14ac:dyDescent="0.2">
      <c r="A35" s="3766" t="s">
        <v>927</v>
      </c>
      <c r="B35" s="473" t="s">
        <v>881</v>
      </c>
      <c r="C35" s="3715" t="s">
        <v>904</v>
      </c>
      <c r="D35" s="3713">
        <v>10</v>
      </c>
      <c r="E35" s="3715" t="s">
        <v>905</v>
      </c>
      <c r="F35" s="3717">
        <f>ROUND(530*(1-B71),2)</f>
        <v>530</v>
      </c>
      <c r="G35" s="3742"/>
      <c r="H35" s="2261"/>
      <c r="I35" s="484" t="s">
        <v>928</v>
      </c>
      <c r="J35" s="3777"/>
      <c r="K35" s="3747"/>
      <c r="L35" s="3777"/>
      <c r="M35" s="3723"/>
      <c r="N35" s="3724"/>
    </row>
    <row r="36" spans="1:14" ht="27" customHeight="1" x14ac:dyDescent="0.2">
      <c r="A36" s="3766"/>
      <c r="B36" s="474" t="s">
        <v>911</v>
      </c>
      <c r="C36" s="3715"/>
      <c r="D36" s="3713"/>
      <c r="E36" s="3715"/>
      <c r="F36" s="3717"/>
      <c r="G36" s="3742"/>
      <c r="H36" s="2261"/>
      <c r="I36" s="484" t="s">
        <v>925</v>
      </c>
      <c r="J36" s="3777"/>
      <c r="K36" s="3747"/>
      <c r="L36" s="3777"/>
      <c r="M36" s="3723"/>
      <c r="N36" s="3724"/>
    </row>
    <row r="37" spans="1:14" ht="27" customHeight="1" x14ac:dyDescent="0.2">
      <c r="A37" s="3766"/>
      <c r="B37" s="474" t="s">
        <v>925</v>
      </c>
      <c r="C37" s="3715"/>
      <c r="D37" s="3713"/>
      <c r="E37" s="3715"/>
      <c r="F37" s="3717"/>
      <c r="G37" s="3742"/>
      <c r="H37" s="2261"/>
      <c r="I37" s="484" t="s">
        <v>910</v>
      </c>
      <c r="J37" s="3777"/>
      <c r="K37" s="3747"/>
      <c r="L37" s="3777"/>
      <c r="M37" s="3723"/>
      <c r="N37" s="3724"/>
    </row>
    <row r="38" spans="1:14" ht="27" customHeight="1" x14ac:dyDescent="0.2">
      <c r="A38" s="3766"/>
      <c r="B38" s="474" t="s">
        <v>928</v>
      </c>
      <c r="C38" s="3715"/>
      <c r="D38" s="3713"/>
      <c r="E38" s="3715"/>
      <c r="F38" s="3717"/>
      <c r="G38" s="3742"/>
      <c r="H38" s="2261"/>
      <c r="I38" s="484" t="s">
        <v>912</v>
      </c>
      <c r="J38" s="3777"/>
      <c r="K38" s="3747"/>
      <c r="L38" s="3777"/>
      <c r="M38" s="3723"/>
      <c r="N38" s="3724"/>
    </row>
    <row r="39" spans="1:14" ht="27" customHeight="1" x14ac:dyDescent="0.2">
      <c r="A39" s="3766"/>
      <c r="B39" s="478" t="s">
        <v>914</v>
      </c>
      <c r="C39" s="3715"/>
      <c r="D39" s="3713"/>
      <c r="E39" s="3715"/>
      <c r="F39" s="3717"/>
      <c r="G39" s="3742"/>
      <c r="H39" s="2261"/>
      <c r="I39" s="485" t="s">
        <v>914</v>
      </c>
      <c r="J39" s="3777"/>
      <c r="K39" s="3747"/>
      <c r="L39" s="3777"/>
      <c r="M39" s="3723"/>
      <c r="N39" s="3724"/>
    </row>
    <row r="40" spans="1:14" ht="24.75" customHeight="1" x14ac:dyDescent="0.2">
      <c r="A40" s="3760" t="s">
        <v>929</v>
      </c>
      <c r="B40" s="473" t="s">
        <v>881</v>
      </c>
      <c r="C40" s="3715" t="s">
        <v>904</v>
      </c>
      <c r="D40" s="3713">
        <v>10</v>
      </c>
      <c r="E40" s="3715" t="s">
        <v>905</v>
      </c>
      <c r="F40" s="3717">
        <f>ROUND(530*(1-B71),2)</f>
        <v>530</v>
      </c>
      <c r="G40" s="3743"/>
      <c r="H40" s="2262"/>
      <c r="I40" s="476" t="s">
        <v>924</v>
      </c>
      <c r="J40" s="3778"/>
      <c r="K40" s="3748"/>
      <c r="L40" s="3778"/>
      <c r="M40" s="3725"/>
      <c r="N40" s="3726"/>
    </row>
    <row r="41" spans="1:14" ht="35.25" customHeight="1" x14ac:dyDescent="0.25">
      <c r="A41" s="3761"/>
      <c r="B41" s="474" t="s">
        <v>911</v>
      </c>
      <c r="C41" s="3715"/>
      <c r="D41" s="3713"/>
      <c r="E41" s="3715"/>
      <c r="F41" s="3717"/>
      <c r="G41" s="486"/>
      <c r="H41" s="487"/>
      <c r="I41" s="487"/>
      <c r="J41" s="3802" t="s">
        <v>930</v>
      </c>
      <c r="K41" s="3803"/>
      <c r="L41" s="3804"/>
      <c r="M41" s="471" t="s">
        <v>931</v>
      </c>
      <c r="N41" s="471" t="s">
        <v>932</v>
      </c>
    </row>
    <row r="42" spans="1:14" ht="27.75" customHeight="1" x14ac:dyDescent="0.2">
      <c r="A42" s="3761"/>
      <c r="B42" s="474" t="s">
        <v>913</v>
      </c>
      <c r="C42" s="3715"/>
      <c r="D42" s="3713"/>
      <c r="E42" s="3715"/>
      <c r="F42" s="3717"/>
      <c r="G42" s="3760" t="s">
        <v>933</v>
      </c>
      <c r="H42" s="2257"/>
      <c r="I42" s="479" t="s">
        <v>911</v>
      </c>
      <c r="J42" s="3763" t="s">
        <v>934</v>
      </c>
      <c r="K42" s="3805" t="s">
        <v>935</v>
      </c>
      <c r="L42" s="3763" t="s">
        <v>3379</v>
      </c>
      <c r="M42" s="3710">
        <f>ROUND(500*(1-C71),2)</f>
        <v>500</v>
      </c>
      <c r="N42" s="3710">
        <f>ROUND(490*(1-C71),2)</f>
        <v>490</v>
      </c>
    </row>
    <row r="43" spans="1:14" ht="22.5" customHeight="1" x14ac:dyDescent="0.2">
      <c r="A43" s="3761"/>
      <c r="B43" s="474" t="s">
        <v>925</v>
      </c>
      <c r="C43" s="3715"/>
      <c r="D43" s="3713"/>
      <c r="E43" s="3715"/>
      <c r="F43" s="3717"/>
      <c r="G43" s="3761"/>
      <c r="H43" s="2258"/>
      <c r="I43" s="475" t="s">
        <v>881</v>
      </c>
      <c r="J43" s="3764"/>
      <c r="K43" s="3806"/>
      <c r="L43" s="3764"/>
      <c r="M43" s="3711"/>
      <c r="N43" s="3711"/>
    </row>
    <row r="44" spans="1:14" ht="22.5" customHeight="1" x14ac:dyDescent="0.2">
      <c r="A44" s="3762"/>
      <c r="B44" s="478" t="s">
        <v>914</v>
      </c>
      <c r="C44" s="3715"/>
      <c r="D44" s="3713"/>
      <c r="E44" s="3715"/>
      <c r="F44" s="3717"/>
      <c r="G44" s="3761"/>
      <c r="H44" s="2258"/>
      <c r="I44" s="475" t="s">
        <v>913</v>
      </c>
      <c r="J44" s="3764"/>
      <c r="K44" s="3806"/>
      <c r="L44" s="3764"/>
      <c r="M44" s="3711"/>
      <c r="N44" s="3711"/>
    </row>
    <row r="45" spans="1:14" ht="21.75" customHeight="1" x14ac:dyDescent="0.2">
      <c r="A45" s="3760" t="s">
        <v>936</v>
      </c>
      <c r="B45" s="3767" t="s">
        <v>881</v>
      </c>
      <c r="C45" s="3715" t="s">
        <v>904</v>
      </c>
      <c r="D45" s="3713">
        <v>10</v>
      </c>
      <c r="E45" s="3715" t="s">
        <v>905</v>
      </c>
      <c r="F45" s="3717">
        <f>ROUND(530*(1-B71),2)</f>
        <v>530</v>
      </c>
      <c r="G45" s="3761"/>
      <c r="H45" s="2258"/>
      <c r="I45" s="475" t="s">
        <v>925</v>
      </c>
      <c r="J45" s="3764"/>
      <c r="K45" s="3806"/>
      <c r="L45" s="3764"/>
      <c r="M45" s="3711"/>
      <c r="N45" s="3711"/>
    </row>
    <row r="46" spans="1:14" ht="21.75" customHeight="1" x14ac:dyDescent="0.2">
      <c r="A46" s="3761"/>
      <c r="B46" s="3768"/>
      <c r="C46" s="3715"/>
      <c r="D46" s="3713"/>
      <c r="E46" s="3715"/>
      <c r="F46" s="3717"/>
      <c r="G46" s="3761"/>
      <c r="H46" s="2258"/>
      <c r="I46" s="475" t="s">
        <v>910</v>
      </c>
      <c r="J46" s="3764"/>
      <c r="K46" s="3806"/>
      <c r="L46" s="3764"/>
      <c r="M46" s="3711"/>
      <c r="N46" s="3711"/>
    </row>
    <row r="47" spans="1:14" ht="18" x14ac:dyDescent="0.2">
      <c r="A47" s="3742"/>
      <c r="B47" s="3719" t="s">
        <v>907</v>
      </c>
      <c r="C47" s="3716"/>
      <c r="D47" s="3714"/>
      <c r="E47" s="3716"/>
      <c r="F47" s="3718"/>
      <c r="G47" s="3761"/>
      <c r="H47" s="2258"/>
      <c r="I47" s="475" t="s">
        <v>912</v>
      </c>
      <c r="J47" s="3764"/>
      <c r="K47" s="3806"/>
      <c r="L47" s="3764"/>
      <c r="M47" s="3711"/>
      <c r="N47" s="3711"/>
    </row>
    <row r="48" spans="1:14" ht="26.25" customHeight="1" x14ac:dyDescent="0.2">
      <c r="A48" s="3742"/>
      <c r="B48" s="3719"/>
      <c r="C48" s="3716"/>
      <c r="D48" s="3714"/>
      <c r="E48" s="3716"/>
      <c r="F48" s="3718"/>
      <c r="G48" s="3762"/>
      <c r="H48" s="2259"/>
      <c r="I48" s="476" t="s">
        <v>914</v>
      </c>
      <c r="J48" s="3765"/>
      <c r="K48" s="3807"/>
      <c r="L48" s="3765"/>
      <c r="M48" s="3712"/>
      <c r="N48" s="3712"/>
    </row>
    <row r="49" spans="1:14" ht="18" x14ac:dyDescent="0.2">
      <c r="A49" s="3742"/>
      <c r="B49" s="3719" t="s">
        <v>911</v>
      </c>
      <c r="C49" s="3716"/>
      <c r="D49" s="3714"/>
      <c r="E49" s="3716"/>
      <c r="F49" s="3718"/>
      <c r="G49" s="3760" t="s">
        <v>937</v>
      </c>
      <c r="H49" s="2257"/>
      <c r="I49" s="479" t="s">
        <v>911</v>
      </c>
      <c r="J49" s="3763" t="s">
        <v>923</v>
      </c>
      <c r="K49" s="3799" t="s">
        <v>938</v>
      </c>
      <c r="L49" s="3763" t="s">
        <v>3379</v>
      </c>
      <c r="M49" s="3710">
        <f>ROUND(500*(1-C71),2)</f>
        <v>500</v>
      </c>
      <c r="N49" s="3710">
        <f>ROUND(490*(1-C71),2)</f>
        <v>490</v>
      </c>
    </row>
    <row r="50" spans="1:14" ht="18" x14ac:dyDescent="0.2">
      <c r="A50" s="3742"/>
      <c r="B50" s="3720"/>
      <c r="C50" s="3716"/>
      <c r="D50" s="3714"/>
      <c r="E50" s="3716"/>
      <c r="F50" s="3718"/>
      <c r="G50" s="3761"/>
      <c r="H50" s="2258"/>
      <c r="I50" s="475" t="s">
        <v>881</v>
      </c>
      <c r="J50" s="3764"/>
      <c r="K50" s="3800"/>
      <c r="L50" s="3764"/>
      <c r="M50" s="3711"/>
      <c r="N50" s="3711"/>
    </row>
    <row r="51" spans="1:14" ht="18" x14ac:dyDescent="0.2">
      <c r="A51" s="3742"/>
      <c r="B51" s="3756" t="s">
        <v>914</v>
      </c>
      <c r="C51" s="3716"/>
      <c r="D51" s="3714"/>
      <c r="E51" s="3716"/>
      <c r="F51" s="3718"/>
      <c r="G51" s="3761"/>
      <c r="H51" s="2258"/>
      <c r="I51" s="475" t="s">
        <v>913</v>
      </c>
      <c r="J51" s="3764"/>
      <c r="K51" s="3800"/>
      <c r="L51" s="3764"/>
      <c r="M51" s="3711"/>
      <c r="N51" s="3711"/>
    </row>
    <row r="52" spans="1:14" ht="18" x14ac:dyDescent="0.2">
      <c r="A52" s="3743"/>
      <c r="B52" s="3757"/>
      <c r="C52" s="3716"/>
      <c r="D52" s="3714"/>
      <c r="E52" s="3716"/>
      <c r="F52" s="3718"/>
      <c r="G52" s="3761"/>
      <c r="H52" s="2258"/>
      <c r="I52" s="475" t="s">
        <v>928</v>
      </c>
      <c r="J52" s="3764"/>
      <c r="K52" s="3800"/>
      <c r="L52" s="3764"/>
      <c r="M52" s="3711"/>
      <c r="N52" s="3711"/>
    </row>
    <row r="53" spans="1:14" ht="20.25" x14ac:dyDescent="0.2">
      <c r="A53" s="3758" t="s">
        <v>939</v>
      </c>
      <c r="B53" s="3758"/>
      <c r="C53" s="3758"/>
      <c r="D53" s="3758"/>
      <c r="E53" s="3758"/>
      <c r="F53" s="3758"/>
      <c r="G53" s="3761"/>
      <c r="H53" s="2258"/>
      <c r="I53" s="475" t="s">
        <v>925</v>
      </c>
      <c r="J53" s="3764"/>
      <c r="K53" s="3800"/>
      <c r="L53" s="3764"/>
      <c r="M53" s="3711"/>
      <c r="N53" s="3711"/>
    </row>
    <row r="54" spans="1:14" ht="18" x14ac:dyDescent="0.2">
      <c r="A54" s="3741" t="s">
        <v>940</v>
      </c>
      <c r="B54" s="3759" t="s">
        <v>881</v>
      </c>
      <c r="C54" s="3746" t="s">
        <v>941</v>
      </c>
      <c r="D54" s="3746">
        <v>9</v>
      </c>
      <c r="E54" s="3746" t="s">
        <v>942</v>
      </c>
      <c r="F54" s="3749">
        <f>ROUND(500*(1-C71),2)</f>
        <v>500</v>
      </c>
      <c r="G54" s="3761"/>
      <c r="H54" s="2258"/>
      <c r="I54" s="475" t="s">
        <v>910</v>
      </c>
      <c r="J54" s="3764"/>
      <c r="K54" s="3800"/>
      <c r="L54" s="3764"/>
      <c r="M54" s="3711"/>
      <c r="N54" s="3711"/>
    </row>
    <row r="55" spans="1:14" ht="18" x14ac:dyDescent="0.2">
      <c r="A55" s="3742"/>
      <c r="B55" s="3752"/>
      <c r="C55" s="3747"/>
      <c r="D55" s="3747"/>
      <c r="E55" s="3747"/>
      <c r="F55" s="3750"/>
      <c r="G55" s="3761"/>
      <c r="H55" s="2258"/>
      <c r="I55" s="475" t="s">
        <v>912</v>
      </c>
      <c r="J55" s="3764"/>
      <c r="K55" s="3800"/>
      <c r="L55" s="3764"/>
      <c r="M55" s="3711"/>
      <c r="N55" s="3711"/>
    </row>
    <row r="56" spans="1:14" ht="15.75" customHeight="1" x14ac:dyDescent="0.2">
      <c r="A56" s="3742"/>
      <c r="B56" s="3752" t="s">
        <v>907</v>
      </c>
      <c r="C56" s="3747"/>
      <c r="D56" s="3747"/>
      <c r="E56" s="3747"/>
      <c r="F56" s="3750"/>
      <c r="G56" s="3762"/>
      <c r="H56" s="2259"/>
      <c r="I56" s="476" t="s">
        <v>914</v>
      </c>
      <c r="J56" s="3765"/>
      <c r="K56" s="3801"/>
      <c r="L56" s="3765"/>
      <c r="M56" s="3712"/>
      <c r="N56" s="3712"/>
    </row>
    <row r="57" spans="1:14" ht="19.5" customHeight="1" x14ac:dyDescent="0.2">
      <c r="A57" s="3742"/>
      <c r="B57" s="3752"/>
      <c r="C57" s="3747"/>
      <c r="D57" s="3747"/>
      <c r="E57" s="3747"/>
      <c r="F57" s="3750"/>
      <c r="G57" s="3766" t="s">
        <v>943</v>
      </c>
      <c r="H57" s="2260"/>
      <c r="I57" s="477" t="s">
        <v>881</v>
      </c>
      <c r="J57" s="3715" t="s">
        <v>923</v>
      </c>
      <c r="K57" s="3769" t="s">
        <v>944</v>
      </c>
      <c r="L57" s="3715" t="s">
        <v>3379</v>
      </c>
      <c r="M57" s="3755">
        <f>ROUND(500*(1-C71),2)</f>
        <v>500</v>
      </c>
      <c r="N57" s="3715">
        <f>ROUND(490*(1-C71),2)</f>
        <v>490</v>
      </c>
    </row>
    <row r="58" spans="1:14" ht="20.25" customHeight="1" x14ac:dyDescent="0.2">
      <c r="A58" s="3742"/>
      <c r="B58" s="3753" t="s">
        <v>914</v>
      </c>
      <c r="C58" s="3747"/>
      <c r="D58" s="3747"/>
      <c r="E58" s="3747"/>
      <c r="F58" s="3750"/>
      <c r="G58" s="3766"/>
      <c r="H58" s="2260"/>
      <c r="I58" s="477" t="s">
        <v>925</v>
      </c>
      <c r="J58" s="3715"/>
      <c r="K58" s="3769"/>
      <c r="L58" s="3715"/>
      <c r="M58" s="3755"/>
      <c r="N58" s="3715"/>
    </row>
    <row r="59" spans="1:14" ht="18" customHeight="1" x14ac:dyDescent="0.2">
      <c r="A59" s="3743"/>
      <c r="B59" s="3754"/>
      <c r="C59" s="3748"/>
      <c r="D59" s="3748"/>
      <c r="E59" s="3748"/>
      <c r="F59" s="3751"/>
      <c r="G59" s="3766"/>
      <c r="H59" s="2260"/>
      <c r="I59" s="477" t="s">
        <v>924</v>
      </c>
      <c r="J59" s="3715"/>
      <c r="K59" s="3769"/>
      <c r="L59" s="3715"/>
      <c r="M59" s="3755"/>
      <c r="N59" s="3715"/>
    </row>
    <row r="60" spans="1:14" ht="19.5" customHeight="1" x14ac:dyDescent="0.2">
      <c r="A60" s="3741" t="s">
        <v>945</v>
      </c>
      <c r="B60" s="3744" t="s">
        <v>881</v>
      </c>
      <c r="C60" s="3746" t="s">
        <v>946</v>
      </c>
      <c r="D60" s="3746">
        <v>8</v>
      </c>
      <c r="E60" s="3746" t="s">
        <v>947</v>
      </c>
      <c r="F60" s="3749">
        <f>ROUND(500*(1-C71),2)</f>
        <v>500</v>
      </c>
      <c r="G60" s="3766"/>
      <c r="H60" s="2260"/>
      <c r="I60" s="477" t="s">
        <v>914</v>
      </c>
      <c r="J60" s="3715"/>
      <c r="K60" s="3769"/>
      <c r="L60" s="3715"/>
      <c r="M60" s="488">
        <f>ROUND(500*(1-C71),2)</f>
        <v>500</v>
      </c>
      <c r="N60" s="3715"/>
    </row>
    <row r="61" spans="1:14" ht="18" x14ac:dyDescent="0.2">
      <c r="A61" s="3742"/>
      <c r="B61" s="3745"/>
      <c r="C61" s="3747"/>
      <c r="D61" s="3747"/>
      <c r="E61" s="3747"/>
      <c r="F61" s="3750"/>
      <c r="G61" s="1297"/>
      <c r="H61" s="1297"/>
      <c r="I61" s="1298"/>
      <c r="J61" s="1299"/>
      <c r="K61" s="1300"/>
      <c r="L61" s="1299"/>
      <c r="M61" s="1301"/>
      <c r="N61" s="1299"/>
    </row>
    <row r="62" spans="1:14" ht="14.25" customHeight="1" x14ac:dyDescent="0.2">
      <c r="A62" s="3742"/>
      <c r="B62" s="3752" t="s">
        <v>907</v>
      </c>
      <c r="C62" s="3747"/>
      <c r="D62" s="3747"/>
      <c r="E62" s="3747"/>
      <c r="F62" s="3750"/>
    </row>
    <row r="63" spans="1:14" ht="15.75" customHeight="1" x14ac:dyDescent="0.2">
      <c r="A63" s="3742"/>
      <c r="B63" s="3752"/>
      <c r="C63" s="3747"/>
      <c r="D63" s="3747"/>
      <c r="E63" s="3747"/>
      <c r="F63" s="3750"/>
      <c r="G63" s="489" t="s">
        <v>948</v>
      </c>
      <c r="H63" s="489"/>
    </row>
    <row r="64" spans="1:14" ht="15.75" customHeight="1" x14ac:dyDescent="0.2">
      <c r="A64" s="3742"/>
      <c r="B64" s="3753" t="s">
        <v>914</v>
      </c>
      <c r="C64" s="3747"/>
      <c r="D64" s="3747"/>
      <c r="E64" s="3747"/>
      <c r="F64" s="3750"/>
    </row>
    <row r="65" spans="1:9" ht="14.25" customHeight="1" x14ac:dyDescent="0.2">
      <c r="A65" s="3743"/>
      <c r="B65" s="3754"/>
      <c r="C65" s="3748"/>
      <c r="D65" s="3748"/>
      <c r="E65" s="3748"/>
      <c r="F65" s="3751"/>
    </row>
    <row r="66" spans="1:9" ht="20.25" x14ac:dyDescent="0.25">
      <c r="A66" s="763" t="s">
        <v>2259</v>
      </c>
      <c r="B66" s="490"/>
      <c r="C66" s="491"/>
      <c r="D66" s="491"/>
      <c r="E66" s="491"/>
      <c r="F66" s="492"/>
    </row>
    <row r="67" spans="1:9" ht="20.25" x14ac:dyDescent="0.2">
      <c r="A67" s="494"/>
      <c r="B67" s="490"/>
      <c r="C67" s="491"/>
      <c r="D67" s="491"/>
      <c r="E67" s="491"/>
      <c r="F67" s="492"/>
    </row>
    <row r="68" spans="1:9" ht="20.25" x14ac:dyDescent="0.2">
      <c r="A68" s="494"/>
      <c r="B68" s="490"/>
      <c r="C68" s="491"/>
      <c r="D68" s="491"/>
      <c r="E68" s="491"/>
      <c r="F68" s="492"/>
    </row>
    <row r="69" spans="1:9" ht="20.25" x14ac:dyDescent="0.2">
      <c r="A69" s="494"/>
      <c r="B69" s="490"/>
      <c r="C69" s="491"/>
      <c r="D69" s="491"/>
      <c r="E69" s="491"/>
      <c r="F69" s="492"/>
    </row>
    <row r="70" spans="1:9" ht="54.75" customHeight="1" x14ac:dyDescent="0.2">
      <c r="A70" s="3157" t="s">
        <v>949</v>
      </c>
      <c r="B70" s="495" t="s">
        <v>950</v>
      </c>
      <c r="C70" s="3737" t="s">
        <v>951</v>
      </c>
      <c r="D70" s="3738"/>
      <c r="E70" s="3737" t="s">
        <v>952</v>
      </c>
      <c r="F70" s="3739"/>
      <c r="G70" s="2333" t="s">
        <v>953</v>
      </c>
      <c r="H70" s="3786" t="s">
        <v>3409</v>
      </c>
      <c r="I70" s="3786"/>
    </row>
    <row r="71" spans="1:9" ht="21.75" customHeight="1" x14ac:dyDescent="0.2">
      <c r="A71" s="3157"/>
      <c r="B71" s="496">
        <v>0</v>
      </c>
      <c r="C71" s="3740">
        <v>0</v>
      </c>
      <c r="D71" s="3740"/>
      <c r="E71" s="2522">
        <v>0</v>
      </c>
      <c r="F71" s="2523"/>
      <c r="G71" s="496">
        <v>0</v>
      </c>
      <c r="H71" s="3740">
        <v>0</v>
      </c>
      <c r="I71" s="3740"/>
    </row>
    <row r="72" spans="1:9" ht="21.75" customHeight="1" x14ac:dyDescent="0.2">
      <c r="A72" s="494"/>
      <c r="B72" s="490"/>
      <c r="C72" s="491"/>
      <c r="D72" s="491"/>
      <c r="E72" s="491"/>
      <c r="F72" s="492"/>
    </row>
  </sheetData>
  <mergeCells count="135">
    <mergeCell ref="H70:I70"/>
    <mergeCell ref="H71:I71"/>
    <mergeCell ref="M12:N13"/>
    <mergeCell ref="M14:N15"/>
    <mergeCell ref="D9:E9"/>
    <mergeCell ref="D10:E12"/>
    <mergeCell ref="D13:E15"/>
    <mergeCell ref="K9:L9"/>
    <mergeCell ref="K10:L10"/>
    <mergeCell ref="K11:L11"/>
    <mergeCell ref="K12:L13"/>
    <mergeCell ref="K14:L15"/>
    <mergeCell ref="J19:J23"/>
    <mergeCell ref="K19:K23"/>
    <mergeCell ref="L19:L23"/>
    <mergeCell ref="M19:N22"/>
    <mergeCell ref="M23:N23"/>
    <mergeCell ref="K49:K56"/>
    <mergeCell ref="J41:L41"/>
    <mergeCell ref="G42:G48"/>
    <mergeCell ref="J42:J48"/>
    <mergeCell ref="K42:K48"/>
    <mergeCell ref="L42:L48"/>
    <mergeCell ref="L31:L40"/>
    <mergeCell ref="A7:M7"/>
    <mergeCell ref="M18:N18"/>
    <mergeCell ref="A17:F17"/>
    <mergeCell ref="G17:N17"/>
    <mergeCell ref="A19:A24"/>
    <mergeCell ref="C19:C24"/>
    <mergeCell ref="D19:D24"/>
    <mergeCell ref="E19:E24"/>
    <mergeCell ref="F19:F24"/>
    <mergeCell ref="G19:G23"/>
    <mergeCell ref="G24:G26"/>
    <mergeCell ref="J24:J26"/>
    <mergeCell ref="K24:K26"/>
    <mergeCell ref="L24:L26"/>
    <mergeCell ref="M24:N26"/>
    <mergeCell ref="A10:A12"/>
    <mergeCell ref="A13:A15"/>
    <mergeCell ref="M10:N10"/>
    <mergeCell ref="B13:C15"/>
    <mergeCell ref="I9:J9"/>
    <mergeCell ref="I10:J10"/>
    <mergeCell ref="I12:J12"/>
    <mergeCell ref="I11:J11"/>
    <mergeCell ref="I14:J14"/>
    <mergeCell ref="G27:G28"/>
    <mergeCell ref="I27:I28"/>
    <mergeCell ref="J27:J28"/>
    <mergeCell ref="K27:K28"/>
    <mergeCell ref="L27:L28"/>
    <mergeCell ref="M27:N28"/>
    <mergeCell ref="M29:N29"/>
    <mergeCell ref="M30:N30"/>
    <mergeCell ref="A31:A34"/>
    <mergeCell ref="C31:C34"/>
    <mergeCell ref="D31:D34"/>
    <mergeCell ref="E31:E34"/>
    <mergeCell ref="F31:F33"/>
    <mergeCell ref="G31:G40"/>
    <mergeCell ref="J31:J40"/>
    <mergeCell ref="K31:K40"/>
    <mergeCell ref="A25:A30"/>
    <mergeCell ref="C25:C30"/>
    <mergeCell ref="D25:D30"/>
    <mergeCell ref="E25:E30"/>
    <mergeCell ref="F25:F30"/>
    <mergeCell ref="A40:A44"/>
    <mergeCell ref="C40:C44"/>
    <mergeCell ref="D35:D39"/>
    <mergeCell ref="A35:A39"/>
    <mergeCell ref="C35:C39"/>
    <mergeCell ref="D40:D44"/>
    <mergeCell ref="A45:A52"/>
    <mergeCell ref="B45:B46"/>
    <mergeCell ref="C45:C52"/>
    <mergeCell ref="G57:G60"/>
    <mergeCell ref="J57:J60"/>
    <mergeCell ref="K57:K60"/>
    <mergeCell ref="L57:L60"/>
    <mergeCell ref="M57:M59"/>
    <mergeCell ref="N57:N60"/>
    <mergeCell ref="B51:B52"/>
    <mergeCell ref="A53:F53"/>
    <mergeCell ref="A54:A59"/>
    <mergeCell ref="B54:B55"/>
    <mergeCell ref="C54:C59"/>
    <mergeCell ref="D54:D59"/>
    <mergeCell ref="E54:E59"/>
    <mergeCell ref="F54:F59"/>
    <mergeCell ref="B56:B57"/>
    <mergeCell ref="B58:B59"/>
    <mergeCell ref="G49:G56"/>
    <mergeCell ref="J49:J56"/>
    <mergeCell ref="M49:M56"/>
    <mergeCell ref="L49:L56"/>
    <mergeCell ref="A70:A71"/>
    <mergeCell ref="C70:D70"/>
    <mergeCell ref="E70:F70"/>
    <mergeCell ref="C71:D71"/>
    <mergeCell ref="E71:F71"/>
    <mergeCell ref="A60:A65"/>
    <mergeCell ref="B60:B61"/>
    <mergeCell ref="C60:C65"/>
    <mergeCell ref="D60:D65"/>
    <mergeCell ref="E60:E65"/>
    <mergeCell ref="F60:F65"/>
    <mergeCell ref="B62:B63"/>
    <mergeCell ref="B64:B65"/>
    <mergeCell ref="I15:J15"/>
    <mergeCell ref="F10:F12"/>
    <mergeCell ref="F13:F15"/>
    <mergeCell ref="M11:N11"/>
    <mergeCell ref="G14:G15"/>
    <mergeCell ref="G12:G13"/>
    <mergeCell ref="I13:J13"/>
    <mergeCell ref="A1:N6"/>
    <mergeCell ref="N49:N56"/>
    <mergeCell ref="D45:D52"/>
    <mergeCell ref="E45:E52"/>
    <mergeCell ref="F45:F52"/>
    <mergeCell ref="B47:B48"/>
    <mergeCell ref="B49:B50"/>
    <mergeCell ref="M31:N40"/>
    <mergeCell ref="M9:N9"/>
    <mergeCell ref="B9:C9"/>
    <mergeCell ref="B10:C12"/>
    <mergeCell ref="E35:E39"/>
    <mergeCell ref="F35:F39"/>
    <mergeCell ref="E40:E44"/>
    <mergeCell ref="F40:F44"/>
    <mergeCell ref="M42:M48"/>
    <mergeCell ref="N42:N48"/>
  </mergeCells>
  <printOptions horizontalCentered="1"/>
  <pageMargins left="0" right="0" top="0" bottom="0" header="0" footer="0"/>
  <pageSetup paperSize="9" scale="38" orientation="landscape" r:id="rId1"/>
  <headerFooter alignWithMargins="0">
    <oddFooter>&amp;R&amp;16Стр. &amp;P из  &amp;N
&amp;A</oddFooter>
  </headerFooter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" r:id="rId4" name="Label 1">
              <controlPr defaultSize="0" autoFill="0" autoLine="0" autoPict="0">
                <anchor moveWithCells="1">
                  <from>
                    <xdr:col>8</xdr:col>
                    <xdr:colOff>0</xdr:colOff>
                    <xdr:row>50</xdr:row>
                    <xdr:rowOff>171450</xdr:rowOff>
                  </from>
                  <to>
                    <xdr:col>8</xdr:col>
                    <xdr:colOff>876300</xdr:colOff>
                    <xdr:row>53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" r:id="rId5" name="Label 2">
              <controlPr locked="0" defaultSize="0" autoFill="0" autoLine="0" autoPict="0">
                <anchor moveWithCells="1">
                  <from>
                    <xdr:col>6</xdr:col>
                    <xdr:colOff>1647825</xdr:colOff>
                    <xdr:row>43</xdr:row>
                    <xdr:rowOff>0</xdr:rowOff>
                  </from>
                  <to>
                    <xdr:col>6</xdr:col>
                    <xdr:colOff>2686050</xdr:colOff>
                    <xdr:row>45</xdr:row>
                    <xdr:rowOff>161925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81"/>
  <sheetViews>
    <sheetView topLeftCell="A22" zoomScale="40" zoomScaleNormal="40" zoomScaleSheetLayoutView="40" workbookViewId="0">
      <selection sqref="A1:C2"/>
    </sheetView>
  </sheetViews>
  <sheetFormatPr defaultRowHeight="12.75" x14ac:dyDescent="0.2"/>
  <cols>
    <col min="1" max="1" width="30.85546875" style="497" customWidth="1"/>
    <col min="2" max="2" width="81.85546875" style="497" customWidth="1"/>
    <col min="3" max="3" width="38.7109375" style="497" customWidth="1"/>
    <col min="4" max="4" width="57.7109375" style="497" customWidth="1"/>
    <col min="5" max="5" width="26.28515625" style="497" customWidth="1"/>
    <col min="6" max="6" width="23.85546875" style="497" customWidth="1"/>
    <col min="7" max="7" width="25.5703125" style="497" customWidth="1"/>
    <col min="8" max="8" width="37.140625" style="497" customWidth="1"/>
    <col min="9" max="9" width="92.5703125" style="497" customWidth="1"/>
    <col min="10" max="10" width="13" style="497" customWidth="1"/>
    <col min="11" max="11" width="6.7109375" style="497" customWidth="1"/>
    <col min="12" max="12" width="4.28515625" style="497" customWidth="1"/>
    <col min="13" max="14" width="9.140625" style="497" customWidth="1"/>
    <col min="15" max="15" width="27.140625" style="497" hidden="1" customWidth="1"/>
    <col min="16" max="16" width="19.5703125" style="497" hidden="1" customWidth="1"/>
    <col min="17" max="17" width="19" style="497" hidden="1" customWidth="1"/>
    <col min="18" max="18" width="22.42578125" style="497" hidden="1" customWidth="1"/>
    <col min="19" max="19" width="18.42578125" style="497" hidden="1" customWidth="1"/>
    <col min="20" max="20" width="20.42578125" style="497" hidden="1" customWidth="1"/>
    <col min="21" max="21" width="19" style="497" hidden="1" customWidth="1"/>
    <col min="22" max="22" width="9.140625" style="497" customWidth="1"/>
    <col min="23" max="16384" width="9.140625" style="497"/>
  </cols>
  <sheetData>
    <row r="1" spans="1:21" x14ac:dyDescent="0.2">
      <c r="A1" s="3851"/>
      <c r="B1" s="3851"/>
      <c r="C1" s="3851"/>
      <c r="D1" s="3851"/>
      <c r="E1" s="3851"/>
      <c r="F1" s="3851"/>
      <c r="G1" s="3851"/>
      <c r="H1" s="3851"/>
      <c r="I1" s="3851"/>
    </row>
    <row r="2" spans="1:21" x14ac:dyDescent="0.2">
      <c r="A2" s="3851"/>
      <c r="B2" s="3851"/>
      <c r="C2" s="3851"/>
      <c r="D2" s="3851"/>
      <c r="E2" s="3851"/>
      <c r="F2" s="3851"/>
      <c r="G2" s="3851"/>
      <c r="H2" s="3851"/>
      <c r="I2" s="3851"/>
    </row>
    <row r="3" spans="1:21" x14ac:dyDescent="0.2">
      <c r="A3" s="3851"/>
      <c r="B3" s="3851"/>
      <c r="C3" s="3851"/>
      <c r="D3" s="3851"/>
      <c r="E3" s="3851"/>
      <c r="F3" s="3851"/>
      <c r="G3" s="3851"/>
      <c r="H3" s="3851"/>
      <c r="I3" s="3851"/>
    </row>
    <row r="4" spans="1:21" x14ac:dyDescent="0.2">
      <c r="A4" s="3851"/>
      <c r="B4" s="3851"/>
      <c r="C4" s="3851"/>
      <c r="D4" s="3851"/>
      <c r="E4" s="3851"/>
      <c r="F4" s="3851"/>
      <c r="G4" s="3851"/>
      <c r="H4" s="3851"/>
      <c r="I4" s="3851"/>
    </row>
    <row r="5" spans="1:21" x14ac:dyDescent="0.2">
      <c r="A5" s="3851"/>
      <c r="B5" s="3851"/>
      <c r="C5" s="3851"/>
      <c r="D5" s="3851"/>
      <c r="E5" s="3851"/>
      <c r="F5" s="3851"/>
      <c r="G5" s="3851"/>
      <c r="H5" s="3851"/>
      <c r="I5" s="3851"/>
    </row>
    <row r="6" spans="1:21" x14ac:dyDescent="0.2">
      <c r="A6" s="3851"/>
      <c r="B6" s="3851"/>
      <c r="C6" s="3851"/>
      <c r="D6" s="3851"/>
      <c r="E6" s="3851"/>
      <c r="F6" s="3851"/>
      <c r="G6" s="3851"/>
      <c r="H6" s="3851"/>
      <c r="I6" s="3851"/>
    </row>
    <row r="7" spans="1:21" x14ac:dyDescent="0.2">
      <c r="A7" s="3851"/>
      <c r="B7" s="3851"/>
      <c r="C7" s="3851"/>
      <c r="D7" s="3851"/>
      <c r="E7" s="3851"/>
      <c r="F7" s="3851"/>
      <c r="G7" s="3851"/>
      <c r="H7" s="3851"/>
      <c r="I7" s="3851"/>
    </row>
    <row r="8" spans="1:21" x14ac:dyDescent="0.2">
      <c r="A8" s="3851"/>
      <c r="B8" s="3851"/>
      <c r="C8" s="3851"/>
      <c r="D8" s="3851"/>
      <c r="E8" s="3851"/>
      <c r="F8" s="3851"/>
      <c r="G8" s="3851"/>
      <c r="H8" s="3851"/>
      <c r="I8" s="3851"/>
    </row>
    <row r="9" spans="1:21" x14ac:dyDescent="0.2">
      <c r="A9" s="3851"/>
      <c r="B9" s="3851"/>
      <c r="C9" s="3851"/>
      <c r="D9" s="3851"/>
      <c r="E9" s="3851"/>
      <c r="F9" s="3851"/>
      <c r="G9" s="3851"/>
      <c r="H9" s="3851"/>
      <c r="I9" s="3851"/>
    </row>
    <row r="10" spans="1:21" ht="53.25" customHeight="1" thickBot="1" x14ac:dyDescent="0.25">
      <c r="A10" s="3852"/>
      <c r="B10" s="3852"/>
      <c r="C10" s="3852"/>
      <c r="D10" s="3852"/>
      <c r="E10" s="3852"/>
      <c r="F10" s="3852"/>
      <c r="G10" s="3852"/>
      <c r="H10" s="3852"/>
      <c r="I10" s="3852"/>
      <c r="N10" s="498"/>
      <c r="O10" s="498"/>
      <c r="P10" s="498"/>
      <c r="Q10" s="498"/>
      <c r="R10" s="498"/>
      <c r="S10" s="498"/>
      <c r="T10" s="498"/>
      <c r="U10" s="498"/>
    </row>
    <row r="11" spans="1:21" ht="35.25" customHeight="1" x14ac:dyDescent="0.3">
      <c r="A11" s="3853" t="s">
        <v>954</v>
      </c>
      <c r="B11" s="3853"/>
      <c r="C11" s="3853"/>
      <c r="D11" s="3853"/>
      <c r="E11" s="3853"/>
      <c r="F11" s="3853"/>
      <c r="G11" s="3853"/>
      <c r="H11" s="3853"/>
      <c r="I11" s="3853"/>
      <c r="J11" s="3853"/>
      <c r="K11" s="390"/>
      <c r="L11" s="384"/>
      <c r="M11" s="401"/>
      <c r="N11" s="499"/>
      <c r="O11" s="498"/>
      <c r="P11" s="498"/>
      <c r="Q11" s="498"/>
      <c r="R11" s="498"/>
      <c r="S11" s="498"/>
      <c r="T11" s="498"/>
      <c r="U11" s="498"/>
    </row>
    <row r="12" spans="1:21" s="396" customFormat="1" ht="27" x14ac:dyDescent="0.35">
      <c r="A12" s="500"/>
      <c r="B12" s="500"/>
      <c r="C12" s="500"/>
      <c r="D12" s="154"/>
      <c r="E12" s="501"/>
      <c r="F12" s="3854" t="s">
        <v>1</v>
      </c>
      <c r="G12" s="3854"/>
      <c r="H12" s="3854"/>
      <c r="I12" s="502">
        <v>42485</v>
      </c>
      <c r="J12" s="503"/>
      <c r="K12" s="390"/>
      <c r="L12" s="384"/>
      <c r="M12" s="401"/>
      <c r="N12" s="504"/>
      <c r="O12" s="504"/>
      <c r="P12" s="504"/>
      <c r="Q12" s="504"/>
      <c r="R12" s="504"/>
      <c r="S12" s="504"/>
      <c r="T12" s="504"/>
      <c r="U12" s="504"/>
    </row>
    <row r="13" spans="1:21" s="396" customFormat="1" ht="157.5" customHeight="1" x14ac:dyDescent="0.2">
      <c r="A13" s="3855" t="s">
        <v>955</v>
      </c>
      <c r="B13" s="3855" t="s">
        <v>399</v>
      </c>
      <c r="C13" s="3855" t="s">
        <v>956</v>
      </c>
      <c r="D13" s="3857" t="s">
        <v>957</v>
      </c>
      <c r="E13" s="3856" t="s">
        <v>958</v>
      </c>
      <c r="F13" s="3857" t="s">
        <v>959</v>
      </c>
      <c r="G13" s="3857" t="s">
        <v>960</v>
      </c>
      <c r="H13" s="3857" t="s">
        <v>961</v>
      </c>
      <c r="I13" s="1592" t="s">
        <v>2338</v>
      </c>
      <c r="J13" s="505"/>
      <c r="K13" s="506"/>
      <c r="L13" s="384"/>
      <c r="M13" s="401"/>
      <c r="N13" s="504"/>
      <c r="O13" s="3849" t="s">
        <v>399</v>
      </c>
      <c r="P13" s="3849"/>
      <c r="Q13" s="1716" t="s">
        <v>962</v>
      </c>
      <c r="R13" s="1716" t="s">
        <v>963</v>
      </c>
      <c r="S13" s="1716" t="s">
        <v>964</v>
      </c>
      <c r="T13" s="1717" t="s">
        <v>960</v>
      </c>
      <c r="U13" s="1718" t="s">
        <v>965</v>
      </c>
    </row>
    <row r="14" spans="1:21" s="396" customFormat="1" ht="35.25" customHeight="1" x14ac:dyDescent="0.2">
      <c r="A14" s="3856"/>
      <c r="B14" s="3856"/>
      <c r="C14" s="3856"/>
      <c r="D14" s="3855"/>
      <c r="E14" s="3856"/>
      <c r="F14" s="3855"/>
      <c r="G14" s="3855"/>
      <c r="H14" s="3855"/>
      <c r="I14" s="1593" t="s">
        <v>966</v>
      </c>
      <c r="J14" s="505"/>
      <c r="K14" s="506"/>
      <c r="L14" s="384"/>
      <c r="M14" s="401"/>
      <c r="N14" s="504"/>
      <c r="O14" s="3827" t="s">
        <v>967</v>
      </c>
      <c r="P14" s="3827" t="s">
        <v>968</v>
      </c>
      <c r="Q14" s="1719">
        <v>1.1000000000000001</v>
      </c>
      <c r="R14" s="1720">
        <v>2</v>
      </c>
      <c r="S14" s="1719">
        <v>2.94</v>
      </c>
      <c r="T14" s="3808">
        <v>96</v>
      </c>
      <c r="U14" s="509">
        <v>383</v>
      </c>
    </row>
    <row r="15" spans="1:21" s="396" customFormat="1" ht="35.25" customHeight="1" x14ac:dyDescent="0.2">
      <c r="A15" s="3834"/>
      <c r="B15" s="3837" t="s">
        <v>2339</v>
      </c>
      <c r="C15" s="1594" t="s">
        <v>971</v>
      </c>
      <c r="D15" s="1609" t="s">
        <v>978</v>
      </c>
      <c r="E15" s="1594">
        <v>3</v>
      </c>
      <c r="F15" s="1594">
        <v>7.37</v>
      </c>
      <c r="G15" s="1594">
        <v>80</v>
      </c>
      <c r="H15" s="1594">
        <f>ROUND(1252*(1-$D$60),2)</f>
        <v>1252</v>
      </c>
      <c r="I15" s="1595">
        <f>ROUND(((H15+U17+($U$45*R17))/2.5),0)</f>
        <v>841</v>
      </c>
      <c r="J15" s="505"/>
      <c r="K15" s="506"/>
      <c r="L15" s="384"/>
      <c r="M15" s="401"/>
      <c r="N15" s="504"/>
      <c r="O15" s="3841"/>
      <c r="P15" s="3841"/>
      <c r="Q15" s="1721"/>
      <c r="R15" s="1722">
        <v>3</v>
      </c>
      <c r="S15" s="1721"/>
      <c r="T15" s="3848"/>
      <c r="U15" s="509">
        <v>722</v>
      </c>
    </row>
    <row r="16" spans="1:21" s="396" customFormat="1" ht="35.25" customHeight="1" x14ac:dyDescent="0.2">
      <c r="A16" s="3835"/>
      <c r="B16" s="3838"/>
      <c r="C16" s="1594" t="s">
        <v>973</v>
      </c>
      <c r="D16" s="1610" t="s">
        <v>978</v>
      </c>
      <c r="E16" s="1594">
        <v>3</v>
      </c>
      <c r="F16" s="1594">
        <v>8.41</v>
      </c>
      <c r="G16" s="1594">
        <v>80</v>
      </c>
      <c r="H16" s="1594">
        <f>ROUND(1342*(1-$D$60),2)</f>
        <v>1342</v>
      </c>
      <c r="I16" s="1595">
        <f>ROUND(((H16+U16+($U$45*R16))/2.5),0)</f>
        <v>864</v>
      </c>
      <c r="J16" s="505"/>
      <c r="K16" s="506"/>
      <c r="L16" s="384"/>
      <c r="M16" s="401"/>
      <c r="N16" s="504"/>
      <c r="O16" s="3841"/>
      <c r="P16" s="3841"/>
      <c r="Q16" s="1721"/>
      <c r="R16" s="1722">
        <v>3</v>
      </c>
      <c r="S16" s="1721"/>
      <c r="T16" s="3848"/>
      <c r="U16" s="509">
        <v>722</v>
      </c>
    </row>
    <row r="17" spans="1:21" s="396" customFormat="1" ht="35.25" customHeight="1" x14ac:dyDescent="0.2">
      <c r="A17" s="3835"/>
      <c r="B17" s="3839"/>
      <c r="C17" s="1594" t="s">
        <v>974</v>
      </c>
      <c r="D17" s="1608" t="s">
        <v>978</v>
      </c>
      <c r="E17" s="1594">
        <v>4</v>
      </c>
      <c r="F17" s="1594">
        <v>9.98</v>
      </c>
      <c r="G17" s="1594">
        <v>80</v>
      </c>
      <c r="H17" s="1594">
        <f>ROUND(1494*(1-$D$60),2)</f>
        <v>1494</v>
      </c>
      <c r="I17" s="1595">
        <f>ROUND(((H17+U17+($U$45*R17))/2.5),0)</f>
        <v>938</v>
      </c>
      <c r="J17" s="505"/>
      <c r="K17" s="506"/>
      <c r="L17" s="384"/>
      <c r="M17" s="401"/>
      <c r="N17" s="504"/>
      <c r="O17" s="3841"/>
      <c r="P17" s="3841"/>
      <c r="Q17" s="1721"/>
      <c r="R17" s="1722">
        <v>4</v>
      </c>
      <c r="S17" s="1721"/>
      <c r="T17" s="3848"/>
      <c r="U17" s="509">
        <v>722</v>
      </c>
    </row>
    <row r="18" spans="1:21" s="396" customFormat="1" ht="27" customHeight="1" x14ac:dyDescent="0.3">
      <c r="A18" s="3835"/>
      <c r="B18" s="3814" t="s">
        <v>2340</v>
      </c>
      <c r="C18" s="1588" t="s">
        <v>969</v>
      </c>
      <c r="D18" s="1588" t="s">
        <v>970</v>
      </c>
      <c r="E18" s="1588">
        <v>2</v>
      </c>
      <c r="F18" s="1596">
        <v>6.46</v>
      </c>
      <c r="G18" s="1597">
        <v>70</v>
      </c>
      <c r="H18" s="1598">
        <f>ROUND(961*(1-$D$60),2)</f>
        <v>961</v>
      </c>
      <c r="I18" s="1599">
        <f>ROUND(((H18+U19+($U$43*R19))/2.5),0)</f>
        <v>618</v>
      </c>
      <c r="J18" s="390"/>
      <c r="K18" s="384"/>
      <c r="L18" s="384"/>
      <c r="M18" s="401"/>
      <c r="N18" s="504"/>
      <c r="O18" s="3841"/>
      <c r="P18" s="3841"/>
      <c r="Q18" s="1723">
        <v>1.3</v>
      </c>
      <c r="R18" s="1724">
        <v>2</v>
      </c>
      <c r="S18" s="1723">
        <v>3.48</v>
      </c>
      <c r="T18" s="3848"/>
      <c r="U18" s="515">
        <v>453</v>
      </c>
    </row>
    <row r="19" spans="1:21" s="396" customFormat="1" ht="27" customHeight="1" x14ac:dyDescent="0.3">
      <c r="A19" s="3835"/>
      <c r="B19" s="3815"/>
      <c r="C19" s="516" t="s">
        <v>971</v>
      </c>
      <c r="D19" s="510" t="s">
        <v>970</v>
      </c>
      <c r="E19" s="517">
        <v>3</v>
      </c>
      <c r="F19" s="514">
        <v>10.39</v>
      </c>
      <c r="G19" s="518">
        <v>70</v>
      </c>
      <c r="H19" s="1600">
        <f>ROUND(1362*(1-$D$60),2)</f>
        <v>1362</v>
      </c>
      <c r="I19" s="513">
        <f>ROUND(((H19+U23+($U$43*R22))/2.5),0)</f>
        <v>877</v>
      </c>
      <c r="J19" s="390"/>
      <c r="K19" s="384"/>
      <c r="L19" s="384"/>
      <c r="M19" s="401"/>
      <c r="N19" s="504"/>
      <c r="O19" s="3841"/>
      <c r="P19" s="3841"/>
      <c r="Q19" s="1723" t="s">
        <v>972</v>
      </c>
      <c r="R19" s="1724">
        <v>2</v>
      </c>
      <c r="S19" s="1723">
        <v>4.0199999999999996</v>
      </c>
      <c r="T19" s="3848"/>
      <c r="U19" s="515">
        <v>482</v>
      </c>
    </row>
    <row r="20" spans="1:21" s="396" customFormat="1" ht="27" customHeight="1" x14ac:dyDescent="0.3">
      <c r="A20" s="3835"/>
      <c r="B20" s="3815"/>
      <c r="C20" s="516" t="s">
        <v>973</v>
      </c>
      <c r="D20" s="510" t="s">
        <v>970</v>
      </c>
      <c r="E20" s="517">
        <v>3</v>
      </c>
      <c r="F20" s="514">
        <v>11.53</v>
      </c>
      <c r="G20" s="518">
        <v>70</v>
      </c>
      <c r="H20" s="1601">
        <f>ROUND(1452*(1-$D$60),2)</f>
        <v>1452</v>
      </c>
      <c r="I20" s="513">
        <f>ROUND(((H20+U24+($U$43*R23))/2.5),0)</f>
        <v>936</v>
      </c>
      <c r="J20" s="390"/>
      <c r="K20" s="384"/>
      <c r="L20" s="384"/>
      <c r="M20" s="401"/>
      <c r="N20" s="504"/>
      <c r="O20" s="3841"/>
      <c r="P20" s="3841"/>
      <c r="Q20" s="1723">
        <v>1.7</v>
      </c>
      <c r="R20" s="1724">
        <v>2</v>
      </c>
      <c r="S20" s="1723">
        <v>4.5599999999999996</v>
      </c>
      <c r="T20" s="3848"/>
      <c r="U20" s="515">
        <v>547</v>
      </c>
    </row>
    <row r="21" spans="1:21" s="396" customFormat="1" ht="27" customHeight="1" x14ac:dyDescent="0.3">
      <c r="A21" s="3835"/>
      <c r="B21" s="3815"/>
      <c r="C21" s="516" t="s">
        <v>974</v>
      </c>
      <c r="D21" s="510" t="s">
        <v>970</v>
      </c>
      <c r="E21" s="517">
        <v>4</v>
      </c>
      <c r="F21" s="514">
        <v>13.73</v>
      </c>
      <c r="G21" s="518">
        <v>70</v>
      </c>
      <c r="H21" s="1600">
        <f>ROUND(1729*(1-$D$60),2)</f>
        <v>1729</v>
      </c>
      <c r="I21" s="513">
        <f>ROUND(((H21+U26+($U$43*R25))/2.5),0)</f>
        <v>1127</v>
      </c>
      <c r="J21" s="390"/>
      <c r="K21" s="384"/>
      <c r="L21" s="384"/>
      <c r="M21" s="401"/>
      <c r="N21" s="504"/>
      <c r="O21" s="3841"/>
      <c r="P21" s="3841"/>
      <c r="Q21" s="1723">
        <v>1.9</v>
      </c>
      <c r="R21" s="1724">
        <v>2</v>
      </c>
      <c r="S21" s="1723">
        <v>5.9</v>
      </c>
      <c r="T21" s="3848"/>
      <c r="U21" s="515">
        <v>585</v>
      </c>
    </row>
    <row r="22" spans="1:21" s="396" customFormat="1" ht="27" customHeight="1" x14ac:dyDescent="0.3">
      <c r="A22" s="3835"/>
      <c r="B22" s="3840"/>
      <c r="C22" s="519" t="s">
        <v>975</v>
      </c>
      <c r="D22" s="520" t="s">
        <v>970</v>
      </c>
      <c r="E22" s="521">
        <v>4</v>
      </c>
      <c r="F22" s="522">
        <v>16</v>
      </c>
      <c r="G22" s="523">
        <v>70</v>
      </c>
      <c r="H22" s="1602">
        <f>ROUND(2015*(1-$D$60),2)</f>
        <v>2015</v>
      </c>
      <c r="I22" s="524">
        <f>ROUND(((H22+U27+($U$43*R26))/2.5),0)</f>
        <v>1331</v>
      </c>
      <c r="J22" s="390"/>
      <c r="K22" s="384"/>
      <c r="L22" s="384"/>
      <c r="M22" s="401"/>
      <c r="N22" s="504"/>
      <c r="O22" s="3841"/>
      <c r="P22" s="3841"/>
      <c r="Q22" s="1723" t="s">
        <v>976</v>
      </c>
      <c r="R22" s="1724">
        <v>3</v>
      </c>
      <c r="S22" s="1723">
        <v>5.36</v>
      </c>
      <c r="T22" s="3848"/>
      <c r="U22" s="515">
        <v>616</v>
      </c>
    </row>
    <row r="23" spans="1:21" s="396" customFormat="1" ht="27" customHeight="1" x14ac:dyDescent="0.3">
      <c r="A23" s="3835"/>
      <c r="B23" s="3814" t="s">
        <v>2341</v>
      </c>
      <c r="C23" s="508" t="s">
        <v>977</v>
      </c>
      <c r="D23" s="510" t="s">
        <v>978</v>
      </c>
      <c r="E23" s="508">
        <v>2</v>
      </c>
      <c r="F23" s="525">
        <v>4.88</v>
      </c>
      <c r="G23" s="526">
        <v>210</v>
      </c>
      <c r="H23" s="1603">
        <f>ROUND(761*(1-$D$60),2)</f>
        <v>761</v>
      </c>
      <c r="I23" s="527">
        <f>ROUND(((H23+U28+($U$43*R28))/2.5),0)</f>
        <v>545</v>
      </c>
      <c r="J23" s="390"/>
      <c r="K23" s="384"/>
      <c r="L23" s="384"/>
      <c r="M23" s="401"/>
      <c r="N23" s="504"/>
      <c r="O23" s="3841"/>
      <c r="P23" s="3841"/>
      <c r="Q23" s="1723" t="s">
        <v>979</v>
      </c>
      <c r="R23" s="1724">
        <v>3</v>
      </c>
      <c r="S23" s="1723">
        <v>5.9</v>
      </c>
      <c r="T23" s="3848"/>
      <c r="U23" s="515">
        <v>678</v>
      </c>
    </row>
    <row r="24" spans="1:21" s="396" customFormat="1" ht="27" customHeight="1" x14ac:dyDescent="0.3">
      <c r="A24" s="3835"/>
      <c r="B24" s="3815"/>
      <c r="C24" s="510" t="s">
        <v>980</v>
      </c>
      <c r="D24" s="510" t="s">
        <v>978</v>
      </c>
      <c r="E24" s="510">
        <v>2</v>
      </c>
      <c r="F24" s="511">
        <v>7.15</v>
      </c>
      <c r="G24" s="512">
        <v>70</v>
      </c>
      <c r="H24" s="1601">
        <f>ROUND(1052*(1-$D$60),2)</f>
        <v>1052</v>
      </c>
      <c r="I24" s="513">
        <f>ROUND(((H24+U30+($U$43*R30))/2.5),0)</f>
        <v>727</v>
      </c>
      <c r="J24" s="390"/>
      <c r="K24" s="384"/>
      <c r="L24" s="384"/>
      <c r="M24" s="401"/>
      <c r="N24" s="504"/>
      <c r="O24" s="3841"/>
      <c r="P24" s="3841"/>
      <c r="Q24" s="1723" t="s">
        <v>981</v>
      </c>
      <c r="R24" s="1724">
        <v>3</v>
      </c>
      <c r="S24" s="1723">
        <v>6.43</v>
      </c>
      <c r="T24" s="3848"/>
      <c r="U24" s="515">
        <v>736</v>
      </c>
    </row>
    <row r="25" spans="1:21" s="396" customFormat="1" ht="63" customHeight="1" x14ac:dyDescent="0.3">
      <c r="A25" s="3835"/>
      <c r="B25" s="3815"/>
      <c r="C25" s="516" t="s">
        <v>971</v>
      </c>
      <c r="D25" s="510" t="s">
        <v>982</v>
      </c>
      <c r="E25" s="517">
        <v>3</v>
      </c>
      <c r="F25" s="514">
        <v>10.69</v>
      </c>
      <c r="G25" s="518">
        <v>70</v>
      </c>
      <c r="H25" s="1600">
        <f>ROUND(1494*(1-$D$60),2)</f>
        <v>1494</v>
      </c>
      <c r="I25" s="513">
        <f>ROUND(((H25+U33+($U$43*R33))/2.5),0)</f>
        <v>1002</v>
      </c>
      <c r="J25" s="390"/>
      <c r="K25" s="384"/>
      <c r="L25" s="384"/>
      <c r="M25" s="401"/>
      <c r="N25" s="504"/>
      <c r="O25" s="3841"/>
      <c r="P25" s="3841"/>
      <c r="Q25" s="1723" t="s">
        <v>983</v>
      </c>
      <c r="R25" s="1724">
        <v>4</v>
      </c>
      <c r="S25" s="1723">
        <v>6.7</v>
      </c>
      <c r="T25" s="3848"/>
      <c r="U25" s="515">
        <v>740</v>
      </c>
    </row>
    <row r="26" spans="1:21" s="396" customFormat="1" ht="54" x14ac:dyDescent="0.3">
      <c r="A26" s="3835"/>
      <c r="B26" s="3815"/>
      <c r="C26" s="516" t="s">
        <v>973</v>
      </c>
      <c r="D26" s="510" t="s">
        <v>982</v>
      </c>
      <c r="E26" s="517">
        <v>3</v>
      </c>
      <c r="F26" s="514">
        <v>11.83</v>
      </c>
      <c r="G26" s="518">
        <v>70</v>
      </c>
      <c r="H26" s="1600">
        <f>ROUND(1597*(1-$D$60),2)</f>
        <v>1597</v>
      </c>
      <c r="I26" s="513">
        <f>ROUND(((H26+U34+($U$43*R34))/2.5),0)</f>
        <v>1078</v>
      </c>
      <c r="J26" s="390"/>
      <c r="K26" s="384"/>
      <c r="L26" s="384"/>
      <c r="M26" s="401"/>
      <c r="N26" s="504"/>
      <c r="O26" s="3841"/>
      <c r="P26" s="3841"/>
      <c r="Q26" s="1723">
        <v>3</v>
      </c>
      <c r="R26" s="1724">
        <v>4</v>
      </c>
      <c r="S26" s="1723">
        <v>8.0399999999999991</v>
      </c>
      <c r="T26" s="3848"/>
      <c r="U26" s="515">
        <v>885</v>
      </c>
    </row>
    <row r="27" spans="1:21" s="396" customFormat="1" ht="31.5" customHeight="1" x14ac:dyDescent="0.3">
      <c r="A27" s="3835"/>
      <c r="B27" s="3815"/>
      <c r="C27" s="528" t="s">
        <v>984</v>
      </c>
      <c r="D27" s="529" t="s">
        <v>978</v>
      </c>
      <c r="E27" s="530">
        <v>3</v>
      </c>
      <c r="F27" s="531">
        <v>14.27</v>
      </c>
      <c r="G27" s="532">
        <v>70</v>
      </c>
      <c r="H27" s="1601">
        <f>ROUND(1912*(1-$D$60),2)</f>
        <v>1912</v>
      </c>
      <c r="I27" s="513">
        <f>ROUND(((H27+U34+($U$43*R34))/3),0)</f>
        <v>1003</v>
      </c>
      <c r="J27" s="390"/>
      <c r="K27" s="384"/>
      <c r="L27" s="384"/>
      <c r="M27" s="401"/>
      <c r="N27" s="504"/>
      <c r="O27" s="3828"/>
      <c r="P27" s="3828"/>
      <c r="Q27" s="1725">
        <v>4</v>
      </c>
      <c r="R27" s="1726">
        <v>6</v>
      </c>
      <c r="S27" s="1725">
        <v>10.72</v>
      </c>
      <c r="T27" s="3809"/>
      <c r="U27" s="533">
        <v>1108</v>
      </c>
    </row>
    <row r="28" spans="1:21" s="396" customFormat="1" ht="81" x14ac:dyDescent="0.3">
      <c r="A28" s="3835"/>
      <c r="B28" s="3815"/>
      <c r="C28" s="516" t="s">
        <v>974</v>
      </c>
      <c r="D28" s="510" t="s">
        <v>985</v>
      </c>
      <c r="E28" s="517">
        <v>4</v>
      </c>
      <c r="F28" s="514">
        <v>14.06</v>
      </c>
      <c r="G28" s="518">
        <v>70</v>
      </c>
      <c r="H28" s="1600">
        <f>ROUND(1903*(1-$D$60),2)</f>
        <v>1903</v>
      </c>
      <c r="I28" s="513">
        <f>ROUND(((H28+U36+($U$43*R36))/2.5),0)</f>
        <v>1258</v>
      </c>
      <c r="J28" s="390"/>
      <c r="K28" s="384"/>
      <c r="L28" s="384"/>
      <c r="M28" s="401"/>
      <c r="N28" s="504"/>
      <c r="O28" s="3827" t="s">
        <v>986</v>
      </c>
      <c r="P28" s="3827" t="s">
        <v>968</v>
      </c>
      <c r="Q28" s="1719">
        <v>1.1000000000000001</v>
      </c>
      <c r="R28" s="1720">
        <v>2</v>
      </c>
      <c r="S28" s="1719">
        <v>2.94</v>
      </c>
      <c r="T28" s="3808">
        <v>96</v>
      </c>
      <c r="U28" s="509">
        <v>500</v>
      </c>
    </row>
    <row r="29" spans="1:21" s="396" customFormat="1" ht="31.5" customHeight="1" x14ac:dyDescent="0.3">
      <c r="A29" s="3835"/>
      <c r="B29" s="3815"/>
      <c r="C29" s="528" t="s">
        <v>987</v>
      </c>
      <c r="D29" s="529" t="s">
        <v>978</v>
      </c>
      <c r="E29" s="530">
        <v>4</v>
      </c>
      <c r="F29" s="531">
        <v>16.790299999999998</v>
      </c>
      <c r="G29" s="532">
        <v>70</v>
      </c>
      <c r="H29" s="1601">
        <f>ROUND(2277*(1-$D$60),2)</f>
        <v>2277</v>
      </c>
      <c r="I29" s="513">
        <f>ROUND(((H29+U36+($U$43*R36))/3),0)</f>
        <v>1173</v>
      </c>
      <c r="J29" s="390"/>
      <c r="K29" s="384"/>
      <c r="L29" s="384"/>
      <c r="M29" s="401"/>
      <c r="N29" s="504"/>
      <c r="O29" s="3841"/>
      <c r="P29" s="3841"/>
      <c r="Q29" s="1723">
        <v>1.3</v>
      </c>
      <c r="R29" s="1724">
        <v>2</v>
      </c>
      <c r="S29" s="1723">
        <v>3.48</v>
      </c>
      <c r="T29" s="3848"/>
      <c r="U29" s="515">
        <v>591</v>
      </c>
    </row>
    <row r="30" spans="1:21" s="396" customFormat="1" ht="27" customHeight="1" x14ac:dyDescent="0.3">
      <c r="A30" s="3836"/>
      <c r="B30" s="3840"/>
      <c r="C30" s="519" t="s">
        <v>975</v>
      </c>
      <c r="D30" s="520" t="s">
        <v>978</v>
      </c>
      <c r="E30" s="521">
        <v>4</v>
      </c>
      <c r="F30" s="522">
        <v>16.3</v>
      </c>
      <c r="G30" s="534">
        <v>70</v>
      </c>
      <c r="H30" s="1602">
        <f>ROUND(2218*(1-$D$60),2)</f>
        <v>2218</v>
      </c>
      <c r="I30" s="524">
        <f>ROUND(((H30+U37+($U$43*R37))/2.5),0)</f>
        <v>1467</v>
      </c>
      <c r="J30" s="390"/>
      <c r="K30" s="384"/>
      <c r="L30" s="384"/>
      <c r="M30" s="401"/>
      <c r="N30" s="504"/>
      <c r="O30" s="3841"/>
      <c r="P30" s="3841"/>
      <c r="Q30" s="1723" t="s">
        <v>972</v>
      </c>
      <c r="R30" s="1724">
        <v>2</v>
      </c>
      <c r="S30" s="1723">
        <v>4.0199999999999996</v>
      </c>
      <c r="T30" s="3848"/>
      <c r="U30" s="515">
        <v>663</v>
      </c>
    </row>
    <row r="31" spans="1:21" s="396" customFormat="1" ht="27" customHeight="1" x14ac:dyDescent="0.3">
      <c r="A31" s="3842"/>
      <c r="B31" s="3814" t="s">
        <v>2342</v>
      </c>
      <c r="C31" s="508" t="s">
        <v>977</v>
      </c>
      <c r="D31" s="1586" t="s">
        <v>970</v>
      </c>
      <c r="E31" s="508">
        <v>2</v>
      </c>
      <c r="F31" s="525">
        <v>8.07</v>
      </c>
      <c r="G31" s="526">
        <v>180</v>
      </c>
      <c r="H31" s="1603">
        <f>ROUND(1060*(1-$D$60),2)</f>
        <v>1060</v>
      </c>
      <c r="I31" s="527">
        <f>ROUND(((H31+U14+($U$43*R14))/2.5),0)</f>
        <v>618</v>
      </c>
      <c r="J31" s="390"/>
      <c r="K31" s="384"/>
      <c r="L31" s="384"/>
      <c r="M31" s="401"/>
      <c r="N31" s="504"/>
      <c r="O31" s="3841"/>
      <c r="P31" s="3841"/>
      <c r="Q31" s="1723">
        <v>1.7</v>
      </c>
      <c r="R31" s="1724">
        <v>2</v>
      </c>
      <c r="S31" s="1723">
        <v>4.5599999999999996</v>
      </c>
      <c r="T31" s="3848"/>
      <c r="U31" s="515">
        <v>752</v>
      </c>
    </row>
    <row r="32" spans="1:21" s="396" customFormat="1" ht="27" customHeight="1" x14ac:dyDescent="0.3">
      <c r="A32" s="3843"/>
      <c r="B32" s="3815"/>
      <c r="C32" s="510" t="s">
        <v>969</v>
      </c>
      <c r="D32" s="510" t="s">
        <v>970</v>
      </c>
      <c r="E32" s="510">
        <v>2</v>
      </c>
      <c r="F32" s="511">
        <v>11.96</v>
      </c>
      <c r="G32" s="512">
        <v>60</v>
      </c>
      <c r="H32" s="1600">
        <f>ROUND(1452*(1-$D$60),2)</f>
        <v>1452</v>
      </c>
      <c r="I32" s="513">
        <f>ROUND(((H32+U19+($U$43*R19))/2.5),0)</f>
        <v>814</v>
      </c>
      <c r="J32" s="390"/>
      <c r="K32" s="384"/>
      <c r="L32" s="384"/>
      <c r="M32" s="401"/>
      <c r="N32" s="504"/>
      <c r="O32" s="3841"/>
      <c r="P32" s="3841"/>
      <c r="Q32" s="1723">
        <v>1.9</v>
      </c>
      <c r="R32" s="1724">
        <v>2</v>
      </c>
      <c r="S32" s="1723">
        <v>5.9</v>
      </c>
      <c r="T32" s="3848"/>
      <c r="U32" s="515">
        <v>839</v>
      </c>
    </row>
    <row r="33" spans="1:21" s="396" customFormat="1" ht="27" customHeight="1" x14ac:dyDescent="0.3">
      <c r="A33" s="3843"/>
      <c r="B33" s="3815"/>
      <c r="C33" s="516" t="s">
        <v>971</v>
      </c>
      <c r="D33" s="510" t="s">
        <v>970</v>
      </c>
      <c r="E33" s="517">
        <v>3</v>
      </c>
      <c r="F33" s="514">
        <v>17.63</v>
      </c>
      <c r="G33" s="518">
        <v>60</v>
      </c>
      <c r="H33" s="1600">
        <f>ROUND(2055*(1-$D$60),2)</f>
        <v>2055</v>
      </c>
      <c r="I33" s="513">
        <f>ROUND(((H33+U23+($U$43*R22))/2.5),0)</f>
        <v>1154</v>
      </c>
      <c r="J33" s="390"/>
      <c r="K33" s="384"/>
      <c r="L33" s="384"/>
      <c r="M33" s="401"/>
      <c r="N33" s="504"/>
      <c r="O33" s="3841"/>
      <c r="P33" s="3841"/>
      <c r="Q33" s="1723" t="s">
        <v>988</v>
      </c>
      <c r="R33" s="1724">
        <v>3</v>
      </c>
      <c r="S33" s="1723">
        <v>5.36</v>
      </c>
      <c r="T33" s="3848"/>
      <c r="U33" s="515">
        <v>857</v>
      </c>
    </row>
    <row r="34" spans="1:21" s="396" customFormat="1" ht="27" customHeight="1" x14ac:dyDescent="0.3">
      <c r="A34" s="3843"/>
      <c r="B34" s="3815"/>
      <c r="C34" s="516" t="s">
        <v>973</v>
      </c>
      <c r="D34" s="510" t="s">
        <v>970</v>
      </c>
      <c r="E34" s="517">
        <v>3</v>
      </c>
      <c r="F34" s="514">
        <v>19.579999999999998</v>
      </c>
      <c r="G34" s="518">
        <v>60</v>
      </c>
      <c r="H34" s="1600">
        <f>ROUND(2187*(1-$D$60),2)</f>
        <v>2187</v>
      </c>
      <c r="I34" s="513">
        <f>ROUND(((H34+U24+($U$43*R23))/2.5),0)</f>
        <v>1230</v>
      </c>
      <c r="J34" s="390"/>
      <c r="K34" s="384"/>
      <c r="L34" s="384"/>
      <c r="M34" s="401"/>
      <c r="N34" s="504"/>
      <c r="O34" s="3841"/>
      <c r="P34" s="3841"/>
      <c r="Q34" s="1723" t="s">
        <v>989</v>
      </c>
      <c r="R34" s="1724">
        <v>3</v>
      </c>
      <c r="S34" s="1723">
        <v>5.9</v>
      </c>
      <c r="T34" s="3848"/>
      <c r="U34" s="515">
        <v>944</v>
      </c>
    </row>
    <row r="35" spans="1:21" s="396" customFormat="1" ht="27" customHeight="1" x14ac:dyDescent="0.3">
      <c r="A35" s="3843"/>
      <c r="B35" s="3815"/>
      <c r="C35" s="516" t="s">
        <v>974</v>
      </c>
      <c r="D35" s="510" t="s">
        <v>970</v>
      </c>
      <c r="E35" s="517">
        <v>4</v>
      </c>
      <c r="F35" s="514">
        <v>23.3</v>
      </c>
      <c r="G35" s="518">
        <v>60</v>
      </c>
      <c r="H35" s="1600">
        <f>ROUND(2605*(1-$D$60),2)</f>
        <v>2605</v>
      </c>
      <c r="I35" s="513">
        <f>ROUND(((H35+U26+($U$43*R25))/2.5),0)</f>
        <v>1478</v>
      </c>
      <c r="J35" s="390"/>
      <c r="K35" s="384"/>
      <c r="L35" s="384"/>
      <c r="M35" s="401"/>
      <c r="N35" s="504"/>
      <c r="O35" s="3841"/>
      <c r="P35" s="3841"/>
      <c r="Q35" s="1723" t="s">
        <v>990</v>
      </c>
      <c r="R35" s="1724">
        <v>3</v>
      </c>
      <c r="S35" s="1723">
        <v>6.43</v>
      </c>
      <c r="T35" s="3848"/>
      <c r="U35" s="515">
        <v>998</v>
      </c>
    </row>
    <row r="36" spans="1:21" s="396" customFormat="1" ht="27" customHeight="1" x14ac:dyDescent="0.3">
      <c r="A36" s="3843"/>
      <c r="B36" s="3840"/>
      <c r="C36" s="519" t="s">
        <v>975</v>
      </c>
      <c r="D36" s="1587" t="s">
        <v>970</v>
      </c>
      <c r="E36" s="521">
        <v>4</v>
      </c>
      <c r="F36" s="522">
        <v>27.19</v>
      </c>
      <c r="G36" s="523">
        <v>60</v>
      </c>
      <c r="H36" s="1602">
        <f>ROUND(3036*(1-$D$60),2)</f>
        <v>3036</v>
      </c>
      <c r="I36" s="524">
        <f>ROUND(((H36+U27+($U$43*R26))/2.5),0)</f>
        <v>1739</v>
      </c>
      <c r="J36" s="390"/>
      <c r="K36" s="384"/>
      <c r="L36" s="384"/>
      <c r="M36" s="401"/>
      <c r="N36" s="504"/>
      <c r="O36" s="3841"/>
      <c r="P36" s="3841"/>
      <c r="Q36" s="1723" t="s">
        <v>991</v>
      </c>
      <c r="R36" s="1724">
        <v>4</v>
      </c>
      <c r="S36" s="1723">
        <v>6.7</v>
      </c>
      <c r="T36" s="3848"/>
      <c r="U36" s="515">
        <v>1039</v>
      </c>
    </row>
    <row r="37" spans="1:21" s="396" customFormat="1" ht="27" customHeight="1" x14ac:dyDescent="0.3">
      <c r="A37" s="3843"/>
      <c r="B37" s="3814" t="s">
        <v>2343</v>
      </c>
      <c r="C37" s="508" t="s">
        <v>977</v>
      </c>
      <c r="D37" s="1586" t="s">
        <v>978</v>
      </c>
      <c r="E37" s="508">
        <v>2</v>
      </c>
      <c r="F37" s="525">
        <v>8.3121000000000009</v>
      </c>
      <c r="G37" s="526">
        <v>180</v>
      </c>
      <c r="H37" s="1603">
        <f>ROUND(1133*(1-$D$60),2)</f>
        <v>1133</v>
      </c>
      <c r="I37" s="527">
        <f>ROUND(((H37+U28+($U$43*R28))/2.5),0)</f>
        <v>694</v>
      </c>
      <c r="J37" s="390"/>
      <c r="K37" s="384"/>
      <c r="L37" s="384"/>
      <c r="M37" s="401"/>
      <c r="N37" s="504"/>
      <c r="O37" s="3841"/>
      <c r="P37" s="3841"/>
      <c r="Q37" s="1723" t="s">
        <v>992</v>
      </c>
      <c r="R37" s="1724">
        <v>4</v>
      </c>
      <c r="S37" s="1723">
        <v>8.0399999999999991</v>
      </c>
      <c r="T37" s="3848"/>
      <c r="U37" s="515">
        <v>1246</v>
      </c>
    </row>
    <row r="38" spans="1:21" s="396" customFormat="1" ht="54" x14ac:dyDescent="0.3">
      <c r="A38" s="3843"/>
      <c r="B38" s="3815"/>
      <c r="C38" s="510" t="s">
        <v>969</v>
      </c>
      <c r="D38" s="510" t="s">
        <v>993</v>
      </c>
      <c r="E38" s="510">
        <v>2</v>
      </c>
      <c r="F38" s="511">
        <v>12.318800000000001</v>
      </c>
      <c r="G38" s="512">
        <v>60</v>
      </c>
      <c r="H38" s="1600">
        <f>ROUND(1553*(1-$D$60),2)</f>
        <v>1553</v>
      </c>
      <c r="I38" s="513">
        <f>ROUND(((H38+U30+($U$43*R30))/2.5),0)</f>
        <v>927</v>
      </c>
      <c r="J38" s="390"/>
      <c r="K38" s="384"/>
      <c r="L38" s="384"/>
      <c r="M38" s="401"/>
      <c r="N38" s="504"/>
      <c r="O38" s="3841"/>
      <c r="P38" s="3846"/>
      <c r="Q38" s="1723" t="s">
        <v>994</v>
      </c>
      <c r="R38" s="1724">
        <v>6</v>
      </c>
      <c r="S38" s="1723">
        <v>10.72</v>
      </c>
      <c r="T38" s="3850"/>
      <c r="U38" s="515">
        <v>1661</v>
      </c>
    </row>
    <row r="39" spans="1:21" s="396" customFormat="1" ht="27" customHeight="1" x14ac:dyDescent="0.3">
      <c r="A39" s="3843"/>
      <c r="B39" s="3815"/>
      <c r="C39" s="516" t="s">
        <v>971</v>
      </c>
      <c r="D39" s="510" t="s">
        <v>978</v>
      </c>
      <c r="E39" s="517">
        <v>3</v>
      </c>
      <c r="F39" s="514">
        <v>18.158899999999999</v>
      </c>
      <c r="G39" s="518">
        <v>60</v>
      </c>
      <c r="H39" s="1600">
        <f>ROUND(2204*(1-$D$60),2)</f>
        <v>2204</v>
      </c>
      <c r="I39" s="513">
        <f>ROUND(((H39+U33+($U$43*R33))/2.5),0)</f>
        <v>1286</v>
      </c>
      <c r="J39" s="390"/>
      <c r="K39" s="384"/>
      <c r="L39" s="384"/>
      <c r="M39" s="401"/>
      <c r="N39" s="504"/>
      <c r="O39" s="3841"/>
      <c r="P39" s="3845" t="s">
        <v>995</v>
      </c>
      <c r="Q39" s="1723" t="s">
        <v>996</v>
      </c>
      <c r="R39" s="1724">
        <v>6</v>
      </c>
      <c r="S39" s="1723">
        <v>18.2</v>
      </c>
      <c r="T39" s="3847" t="s">
        <v>997</v>
      </c>
      <c r="U39" s="535">
        <v>2654</v>
      </c>
    </row>
    <row r="40" spans="1:21" s="396" customFormat="1" ht="27.75" customHeight="1" x14ac:dyDescent="0.3">
      <c r="A40" s="3843"/>
      <c r="B40" s="3815"/>
      <c r="C40" s="516" t="s">
        <v>973</v>
      </c>
      <c r="D40" s="510" t="s">
        <v>978</v>
      </c>
      <c r="E40" s="517">
        <v>3</v>
      </c>
      <c r="F40" s="514">
        <v>20.167399999999997</v>
      </c>
      <c r="G40" s="518">
        <v>60</v>
      </c>
      <c r="H40" s="1600">
        <f>ROUND(2352*(1-$D$60),2)</f>
        <v>2352</v>
      </c>
      <c r="I40" s="513">
        <f>ROUND(((H40+U34+($U$43*R34))/2.5),0)</f>
        <v>1380</v>
      </c>
      <c r="J40" s="390"/>
      <c r="K40" s="384"/>
      <c r="L40" s="384"/>
      <c r="M40" s="401"/>
      <c r="N40" s="504"/>
      <c r="O40" s="3841"/>
      <c r="P40" s="3846"/>
      <c r="Q40" s="1723" t="s">
        <v>998</v>
      </c>
      <c r="R40" s="1724">
        <v>8</v>
      </c>
      <c r="S40" s="1723">
        <v>22.75</v>
      </c>
      <c r="T40" s="3848"/>
      <c r="U40" s="535">
        <v>3317</v>
      </c>
    </row>
    <row r="41" spans="1:21" s="396" customFormat="1" ht="81" x14ac:dyDescent="0.3">
      <c r="A41" s="3843"/>
      <c r="B41" s="3815"/>
      <c r="C41" s="516" t="s">
        <v>974</v>
      </c>
      <c r="D41" s="510" t="s">
        <v>999</v>
      </c>
      <c r="E41" s="517">
        <v>4</v>
      </c>
      <c r="F41" s="514">
        <v>23.999000000000002</v>
      </c>
      <c r="G41" s="518">
        <v>60</v>
      </c>
      <c r="H41" s="1600">
        <f>ROUND(2801*(1-$D$60),2)</f>
        <v>2801</v>
      </c>
      <c r="I41" s="513">
        <f>ROUND(((H41+U36+($U$43*R36))/2.5),0)</f>
        <v>1618</v>
      </c>
      <c r="J41" s="390"/>
      <c r="K41" s="384"/>
      <c r="L41" s="384"/>
      <c r="M41" s="401"/>
      <c r="N41" s="504"/>
      <c r="O41" s="3841"/>
      <c r="P41" s="3845" t="s">
        <v>1000</v>
      </c>
      <c r="Q41" s="1723">
        <v>4</v>
      </c>
      <c r="R41" s="1724">
        <v>6</v>
      </c>
      <c r="S41" s="1723">
        <v>20</v>
      </c>
      <c r="T41" s="3848"/>
      <c r="U41" s="535">
        <v>2897</v>
      </c>
    </row>
    <row r="42" spans="1:21" s="396" customFormat="1" ht="54" x14ac:dyDescent="0.3">
      <c r="A42" s="3844"/>
      <c r="B42" s="3840"/>
      <c r="C42" s="519" t="s">
        <v>975</v>
      </c>
      <c r="D42" s="1587" t="s">
        <v>993</v>
      </c>
      <c r="E42" s="521">
        <v>4</v>
      </c>
      <c r="F42" s="522">
        <v>28.005700000000001</v>
      </c>
      <c r="G42" s="523">
        <v>60</v>
      </c>
      <c r="H42" s="1602">
        <f>ROUND(3263*(1-$D$60),2)</f>
        <v>3263</v>
      </c>
      <c r="I42" s="524">
        <f>ROUND(((H42+U37+($U$43*R37))/2.5),0)</f>
        <v>1885</v>
      </c>
      <c r="J42" s="390"/>
      <c r="K42" s="384"/>
      <c r="L42" s="384"/>
      <c r="M42" s="401"/>
      <c r="N42" s="504"/>
      <c r="O42" s="3828"/>
      <c r="P42" s="3828"/>
      <c r="Q42" s="1725">
        <v>5</v>
      </c>
      <c r="R42" s="1726">
        <v>8</v>
      </c>
      <c r="S42" s="1725">
        <v>25</v>
      </c>
      <c r="T42" s="3809"/>
      <c r="U42" s="536">
        <v>3698</v>
      </c>
    </row>
    <row r="43" spans="1:21" s="396" customFormat="1" ht="50.25" customHeight="1" x14ac:dyDescent="0.3">
      <c r="A43" s="3818"/>
      <c r="B43" s="3814" t="s">
        <v>1003</v>
      </c>
      <c r="C43" s="537" t="s">
        <v>969</v>
      </c>
      <c r="D43" s="1586" t="s">
        <v>978</v>
      </c>
      <c r="E43" s="538" t="s">
        <v>17</v>
      </c>
      <c r="F43" s="507">
        <v>14.43</v>
      </c>
      <c r="G43" s="539">
        <v>50</v>
      </c>
      <c r="H43" s="1603">
        <f>ROUND(2090*(1-$D$60),2)</f>
        <v>2090</v>
      </c>
      <c r="I43" s="527">
        <f>ROUND(((H43+U30+($U$43*R30))/2.5),0)</f>
        <v>1142</v>
      </c>
      <c r="J43" s="390"/>
      <c r="K43" s="384"/>
      <c r="L43" s="384"/>
      <c r="M43" s="401"/>
      <c r="N43" s="504"/>
      <c r="O43" s="3821" t="s">
        <v>1001</v>
      </c>
      <c r="P43" s="3822"/>
      <c r="Q43" s="3825"/>
      <c r="R43" s="3827" t="s">
        <v>1002</v>
      </c>
      <c r="S43" s="3829">
        <v>0.05</v>
      </c>
      <c r="T43" s="3808">
        <v>100</v>
      </c>
      <c r="U43" s="3810">
        <v>51</v>
      </c>
    </row>
    <row r="44" spans="1:21" s="396" customFormat="1" ht="45.75" customHeight="1" x14ac:dyDescent="0.3">
      <c r="A44" s="3819"/>
      <c r="B44" s="3815"/>
      <c r="C44" s="516" t="s">
        <v>1004</v>
      </c>
      <c r="D44" s="510" t="s">
        <v>978</v>
      </c>
      <c r="E44" s="517" t="s">
        <v>17</v>
      </c>
      <c r="F44" s="514">
        <v>27.5</v>
      </c>
      <c r="G44" s="518">
        <v>40</v>
      </c>
      <c r="H44" s="1600">
        <f>ROUND(3549*(1-$D$60),2)</f>
        <v>3549</v>
      </c>
      <c r="I44" s="513">
        <f>ROUND(((H44+U36+($U$43*R36))/2.5),0)</f>
        <v>1917</v>
      </c>
      <c r="J44" s="390"/>
      <c r="M44" s="540"/>
      <c r="N44" s="504"/>
      <c r="O44" s="3823"/>
      <c r="P44" s="3824"/>
      <c r="Q44" s="3826"/>
      <c r="R44" s="3828"/>
      <c r="S44" s="3830"/>
      <c r="T44" s="3809"/>
      <c r="U44" s="3811"/>
    </row>
    <row r="45" spans="1:21" s="396" customFormat="1" ht="48" customHeight="1" x14ac:dyDescent="0.3">
      <c r="A45" s="3819"/>
      <c r="B45" s="3815"/>
      <c r="C45" s="541" t="s">
        <v>975</v>
      </c>
      <c r="D45" s="541" t="s">
        <v>978</v>
      </c>
      <c r="E45" s="542" t="s">
        <v>17</v>
      </c>
      <c r="F45" s="543">
        <v>32.729999999999997</v>
      </c>
      <c r="G45" s="544">
        <v>40</v>
      </c>
      <c r="H45" s="1604">
        <f>ROUND(4222*(1-$D$60),2)</f>
        <v>4222</v>
      </c>
      <c r="I45" s="545">
        <f>ROUND(((H45+U37+($U$43*R37))/2.5),0)</f>
        <v>2269</v>
      </c>
      <c r="J45" s="390"/>
      <c r="M45" s="540"/>
      <c r="N45" s="504"/>
      <c r="O45" s="3812" t="s">
        <v>2344</v>
      </c>
      <c r="P45" s="3813"/>
      <c r="Q45" s="1727"/>
      <c r="R45" s="1727"/>
      <c r="S45" s="1727"/>
      <c r="T45" s="1727"/>
      <c r="U45" s="1728">
        <v>32</v>
      </c>
    </row>
    <row r="46" spans="1:21" s="396" customFormat="1" ht="57" customHeight="1" x14ac:dyDescent="0.3">
      <c r="A46" s="3819"/>
      <c r="B46" s="3831" t="s">
        <v>2594</v>
      </c>
      <c r="C46" s="1747" t="s">
        <v>969</v>
      </c>
      <c r="D46" s="1748" t="s">
        <v>970</v>
      </c>
      <c r="E46" s="1749" t="s">
        <v>17</v>
      </c>
      <c r="F46" s="507">
        <v>14.11</v>
      </c>
      <c r="G46" s="1750">
        <v>50</v>
      </c>
      <c r="H46" s="1751">
        <f>ROUND(2015*(1-$D$60),2)</f>
        <v>2015</v>
      </c>
      <c r="I46" s="1762">
        <f>ROUND(((H46+U19+($U$43*R19))/2.5),0)</f>
        <v>1040</v>
      </c>
      <c r="J46" s="390"/>
      <c r="M46" s="540"/>
      <c r="N46" s="504"/>
      <c r="O46" s="497"/>
      <c r="P46" s="497"/>
      <c r="Q46" s="497"/>
      <c r="R46" s="497"/>
      <c r="S46" s="497"/>
      <c r="T46" s="497"/>
      <c r="U46" s="497"/>
    </row>
    <row r="47" spans="1:21" s="396" customFormat="1" ht="44.25" customHeight="1" x14ac:dyDescent="0.3">
      <c r="A47" s="3819"/>
      <c r="B47" s="3832"/>
      <c r="C47" s="1752" t="s">
        <v>974</v>
      </c>
      <c r="D47" s="1753" t="s">
        <v>970</v>
      </c>
      <c r="E47" s="1754" t="s">
        <v>17</v>
      </c>
      <c r="F47" s="514">
        <v>26.88</v>
      </c>
      <c r="G47" s="1755">
        <v>40</v>
      </c>
      <c r="H47" s="1756">
        <f>ROUND(3406*(1-$D$60),2)</f>
        <v>3406</v>
      </c>
      <c r="I47" s="1762">
        <f>ROUND(((H47+U26+($U$43*R26))/2.5),0)</f>
        <v>1798</v>
      </c>
      <c r="J47" s="390"/>
      <c r="M47" s="540"/>
      <c r="N47" s="504"/>
      <c r="O47" s="504"/>
      <c r="P47" s="504"/>
      <c r="Q47" s="504"/>
      <c r="R47" s="504"/>
      <c r="S47" s="504"/>
      <c r="T47" s="504"/>
      <c r="U47" s="504"/>
    </row>
    <row r="48" spans="1:21" s="396" customFormat="1" ht="44.25" customHeight="1" x14ac:dyDescent="0.3">
      <c r="A48" s="3820"/>
      <c r="B48" s="3833"/>
      <c r="C48" s="1757" t="s">
        <v>975</v>
      </c>
      <c r="D48" s="1758" t="s">
        <v>970</v>
      </c>
      <c r="E48" s="1759" t="s">
        <v>17</v>
      </c>
      <c r="F48" s="522">
        <v>31.99</v>
      </c>
      <c r="G48" s="1760">
        <v>40</v>
      </c>
      <c r="H48" s="1761">
        <f>ROUND(3684*(1-$D$60),2)</f>
        <v>3684</v>
      </c>
      <c r="I48" s="1762">
        <f>ROUND(((H48+U27+($U$43*R26))/2.5),0)</f>
        <v>1998</v>
      </c>
      <c r="J48" s="390"/>
      <c r="M48" s="540"/>
      <c r="N48" s="504"/>
      <c r="O48" s="504"/>
      <c r="P48" s="504"/>
      <c r="Q48" s="504"/>
      <c r="R48" s="504"/>
      <c r="S48" s="504"/>
      <c r="T48" s="504"/>
      <c r="U48" s="504"/>
    </row>
    <row r="49" spans="1:21" s="396" customFormat="1" ht="27" x14ac:dyDescent="0.3">
      <c r="A49" s="558" t="s">
        <v>1005</v>
      </c>
      <c r="B49" s="546"/>
      <c r="C49" s="546"/>
      <c r="D49" s="546"/>
      <c r="E49" s="546"/>
      <c r="F49" s="546"/>
      <c r="G49" s="546"/>
      <c r="H49" s="546"/>
      <c r="I49" s="546"/>
      <c r="J49" s="390"/>
      <c r="M49" s="540"/>
      <c r="N49" s="504"/>
      <c r="O49" s="504"/>
      <c r="P49" s="504"/>
      <c r="Q49" s="504"/>
      <c r="R49" s="504"/>
      <c r="S49" s="504"/>
      <c r="T49" s="504"/>
      <c r="U49" s="504"/>
    </row>
    <row r="50" spans="1:21" s="396" customFormat="1" ht="27" customHeight="1" x14ac:dyDescent="0.35">
      <c r="A50" s="558" t="s">
        <v>1006</v>
      </c>
      <c r="B50" s="154"/>
      <c r="C50" s="548"/>
      <c r="D50" s="548"/>
      <c r="E50" s="548"/>
      <c r="F50" s="548"/>
      <c r="G50" s="548"/>
      <c r="H50" s="548"/>
      <c r="I50" s="548"/>
      <c r="J50" s="390"/>
      <c r="M50" s="540"/>
      <c r="N50" s="504"/>
      <c r="O50" s="504"/>
      <c r="P50" s="504"/>
      <c r="Q50" s="504"/>
      <c r="R50" s="504"/>
      <c r="S50" s="504"/>
      <c r="T50" s="504"/>
      <c r="U50" s="504"/>
    </row>
    <row r="51" spans="1:21" s="396" customFormat="1" ht="27" customHeight="1" x14ac:dyDescent="0.35">
      <c r="A51" s="1858" t="s">
        <v>1007</v>
      </c>
      <c r="B51" s="154"/>
      <c r="C51" s="548"/>
      <c r="D51" s="548"/>
      <c r="E51" s="548"/>
      <c r="F51" s="548"/>
      <c r="G51" s="548"/>
      <c r="H51" s="548"/>
      <c r="I51" s="548"/>
      <c r="J51" s="390"/>
      <c r="M51" s="540"/>
      <c r="N51" s="504"/>
      <c r="O51" s="504"/>
      <c r="P51" s="504"/>
      <c r="Q51" s="504"/>
      <c r="R51" s="504"/>
      <c r="S51" s="504"/>
      <c r="T51" s="504"/>
      <c r="U51" s="504"/>
    </row>
    <row r="52" spans="1:21" s="396" customFormat="1" ht="27" customHeight="1" x14ac:dyDescent="0.35">
      <c r="A52" s="558" t="s">
        <v>2345</v>
      </c>
      <c r="B52" s="154"/>
      <c r="C52" s="548"/>
      <c r="D52" s="548"/>
      <c r="E52" s="548"/>
      <c r="F52" s="548"/>
      <c r="G52" s="548"/>
      <c r="H52" s="548"/>
      <c r="I52" s="548"/>
      <c r="J52" s="390"/>
      <c r="M52" s="540"/>
      <c r="N52" s="504"/>
      <c r="O52" s="504"/>
      <c r="P52" s="504"/>
      <c r="Q52" s="504"/>
      <c r="R52" s="504"/>
      <c r="S52" s="504"/>
      <c r="T52" s="504"/>
      <c r="U52" s="504"/>
    </row>
    <row r="53" spans="1:21" s="396" customFormat="1" ht="27" customHeight="1" x14ac:dyDescent="0.35">
      <c r="A53" s="1856" t="s">
        <v>2865</v>
      </c>
      <c r="B53" s="154"/>
      <c r="C53" s="549"/>
      <c r="D53" s="550"/>
      <c r="E53" s="551"/>
      <c r="F53" s="552"/>
      <c r="G53" s="553"/>
      <c r="H53" s="554"/>
      <c r="I53" s="555"/>
      <c r="J53" s="390"/>
      <c r="M53" s="540"/>
      <c r="N53" s="504"/>
      <c r="O53" s="504"/>
      <c r="P53" s="504"/>
      <c r="Q53" s="504"/>
      <c r="R53" s="504"/>
      <c r="S53" s="504"/>
      <c r="T53" s="504"/>
      <c r="U53" s="504"/>
    </row>
    <row r="54" spans="1:21" s="396" customFormat="1" ht="27" customHeight="1" x14ac:dyDescent="0.35">
      <c r="A54" s="1857" t="s">
        <v>2866</v>
      </c>
      <c r="B54" s="548"/>
      <c r="C54" s="548"/>
      <c r="D54" s="548"/>
      <c r="E54" s="548"/>
      <c r="F54" s="548"/>
      <c r="G54" s="548"/>
      <c r="H54" s="548"/>
      <c r="I54" s="548"/>
      <c r="J54" s="390"/>
    </row>
    <row r="55" spans="1:21" s="396" customFormat="1" ht="27" customHeight="1" x14ac:dyDescent="0.35">
      <c r="A55" s="1856" t="s">
        <v>2864</v>
      </c>
      <c r="B55" s="548"/>
      <c r="C55" s="548"/>
      <c r="D55" s="548"/>
      <c r="E55" s="548"/>
      <c r="F55" s="548"/>
      <c r="G55" s="548"/>
      <c r="H55" s="548"/>
      <c r="I55" s="548"/>
      <c r="J55" s="390"/>
    </row>
    <row r="56" spans="1:21" s="396" customFormat="1" ht="27" customHeight="1" x14ac:dyDescent="0.35">
      <c r="A56" s="1856" t="s">
        <v>2867</v>
      </c>
      <c r="B56" s="548"/>
      <c r="C56" s="548"/>
      <c r="D56" s="548"/>
      <c r="E56" s="548"/>
      <c r="F56" s="548"/>
      <c r="G56" s="548"/>
      <c r="H56" s="548"/>
      <c r="I56" s="548"/>
      <c r="J56" s="390"/>
    </row>
    <row r="57" spans="1:21" s="396" customFormat="1" ht="27" customHeight="1" x14ac:dyDescent="0.35">
      <c r="A57" s="1856"/>
      <c r="B57" s="548"/>
      <c r="C57" s="548"/>
      <c r="D57" s="548"/>
      <c r="E57" s="548"/>
      <c r="F57" s="548"/>
      <c r="G57" s="548"/>
      <c r="H57" s="548"/>
      <c r="I57" s="548"/>
      <c r="J57" s="390"/>
    </row>
    <row r="58" spans="1:21" s="396" customFormat="1" ht="27" customHeight="1" x14ac:dyDescent="0.35">
      <c r="A58" s="1856"/>
      <c r="B58" s="548"/>
      <c r="C58" s="548"/>
      <c r="D58" s="548"/>
      <c r="E58" s="548"/>
      <c r="F58" s="548"/>
      <c r="G58" s="548"/>
      <c r="H58" s="548"/>
      <c r="I58" s="548"/>
      <c r="J58" s="390"/>
    </row>
    <row r="59" spans="1:21" s="396" customFormat="1" ht="20.25" x14ac:dyDescent="0.3">
      <c r="B59" s="548"/>
      <c r="C59" s="548"/>
      <c r="D59" s="548"/>
      <c r="E59" s="548"/>
      <c r="F59" s="548"/>
      <c r="G59" s="548"/>
      <c r="H59" s="548"/>
      <c r="I59" s="548"/>
      <c r="J59" s="390"/>
    </row>
    <row r="60" spans="1:21" s="396" customFormat="1" ht="27" customHeight="1" x14ac:dyDescent="0.3">
      <c r="A60" s="3816" t="s">
        <v>66</v>
      </c>
      <c r="B60" s="3816"/>
      <c r="C60" s="3816"/>
      <c r="D60" s="3817">
        <v>0</v>
      </c>
      <c r="E60" s="548"/>
      <c r="F60" s="548"/>
      <c r="G60" s="548"/>
      <c r="H60" s="548"/>
      <c r="I60" s="548"/>
      <c r="J60" s="390"/>
    </row>
    <row r="61" spans="1:21" s="396" customFormat="1" ht="27" customHeight="1" x14ac:dyDescent="0.3">
      <c r="A61" s="3816"/>
      <c r="B61" s="3816"/>
      <c r="C61" s="3816"/>
      <c r="D61" s="3817"/>
      <c r="E61" s="548"/>
      <c r="F61" s="548"/>
      <c r="G61" s="548"/>
      <c r="H61" s="548"/>
      <c r="I61" s="548"/>
      <c r="J61" s="390"/>
    </row>
    <row r="62" spans="1:21" s="396" customFormat="1" ht="122.25" customHeight="1" x14ac:dyDescent="0.3">
      <c r="A62" s="558"/>
      <c r="B62" s="548"/>
      <c r="C62" s="548"/>
      <c r="D62" s="548"/>
      <c r="E62" s="548"/>
      <c r="F62" s="548"/>
      <c r="G62" s="548"/>
      <c r="H62" s="548"/>
      <c r="I62" s="548"/>
      <c r="J62" s="390"/>
    </row>
    <row r="63" spans="1:21" s="396" customFormat="1" ht="27" hidden="1" customHeight="1" x14ac:dyDescent="0.3">
      <c r="A63" s="558"/>
      <c r="B63" s="548"/>
      <c r="C63" s="548"/>
      <c r="D63" s="548"/>
      <c r="E63" s="548"/>
      <c r="F63" s="548"/>
      <c r="G63" s="548"/>
      <c r="H63" s="548"/>
      <c r="I63" s="548"/>
      <c r="J63" s="390"/>
    </row>
    <row r="64" spans="1:21" s="396" customFormat="1" ht="61.5" customHeight="1" x14ac:dyDescent="0.3">
      <c r="A64" s="558"/>
      <c r="B64" s="548"/>
      <c r="C64" s="548"/>
      <c r="D64" s="548"/>
      <c r="E64" s="548"/>
      <c r="F64" s="548"/>
      <c r="G64" s="548"/>
      <c r="H64" s="548"/>
      <c r="I64" s="548"/>
      <c r="J64" s="390"/>
    </row>
    <row r="65" spans="1:11" s="396" customFormat="1" ht="83.25" customHeight="1" x14ac:dyDescent="0.3">
      <c r="A65" s="497"/>
      <c r="B65" s="497"/>
      <c r="C65" s="497"/>
      <c r="D65" s="497"/>
      <c r="E65" s="497"/>
      <c r="F65" s="497"/>
      <c r="G65" s="497"/>
      <c r="H65" s="497"/>
      <c r="I65" s="497"/>
      <c r="J65" s="390"/>
    </row>
    <row r="66" spans="1:11" s="396" customFormat="1" ht="83.25" customHeight="1" x14ac:dyDescent="0.3">
      <c r="A66" s="497"/>
      <c r="B66" s="497"/>
      <c r="C66" s="497"/>
      <c r="D66" s="497"/>
      <c r="E66" s="497"/>
      <c r="F66" s="497"/>
      <c r="G66" s="497"/>
      <c r="H66" s="497"/>
      <c r="I66" s="497"/>
      <c r="J66" s="390"/>
    </row>
    <row r="67" spans="1:11" s="396" customFormat="1" ht="83.25" customHeight="1" x14ac:dyDescent="0.3">
      <c r="A67" s="497"/>
      <c r="B67" s="497"/>
      <c r="C67" s="497"/>
      <c r="D67" s="497"/>
      <c r="E67" s="497"/>
      <c r="F67" s="497"/>
      <c r="G67" s="497"/>
      <c r="H67" s="497"/>
      <c r="I67" s="497"/>
      <c r="J67" s="390"/>
    </row>
    <row r="68" spans="1:11" s="396" customFormat="1" ht="83.25" customHeight="1" x14ac:dyDescent="0.3">
      <c r="A68" s="497"/>
      <c r="B68" s="497"/>
      <c r="C68" s="497"/>
      <c r="D68" s="497"/>
      <c r="E68" s="497"/>
      <c r="F68" s="497"/>
      <c r="G68" s="497"/>
      <c r="H68" s="497"/>
      <c r="I68" s="497"/>
      <c r="J68" s="390"/>
    </row>
    <row r="69" spans="1:11" s="396" customFormat="1" ht="83.25" customHeight="1" x14ac:dyDescent="0.3">
      <c r="A69" s="497"/>
      <c r="B69" s="497"/>
      <c r="C69" s="497"/>
      <c r="D69" s="497"/>
      <c r="E69" s="497"/>
      <c r="F69" s="497"/>
      <c r="G69" s="497"/>
      <c r="H69" s="497"/>
      <c r="I69" s="497"/>
      <c r="J69" s="390"/>
    </row>
    <row r="70" spans="1:11" s="396" customFormat="1" ht="89.25" customHeight="1" x14ac:dyDescent="0.3">
      <c r="A70" s="497"/>
      <c r="B70" s="497"/>
      <c r="C70" s="497"/>
      <c r="D70" s="497"/>
      <c r="E70" s="497"/>
      <c r="F70" s="497"/>
      <c r="G70" s="497"/>
      <c r="H70" s="497"/>
      <c r="I70" s="497"/>
      <c r="J70" s="390"/>
    </row>
    <row r="71" spans="1:11" s="396" customFormat="1" ht="27.75" x14ac:dyDescent="0.35">
      <c r="A71" s="559"/>
      <c r="B71" s="154"/>
      <c r="C71" s="154"/>
      <c r="D71" s="154"/>
      <c r="E71" s="154"/>
      <c r="F71" s="154"/>
      <c r="G71" s="154"/>
      <c r="H71" s="154"/>
      <c r="I71" s="154"/>
      <c r="J71" s="390"/>
      <c r="K71" s="390"/>
    </row>
    <row r="72" spans="1:11" s="396" customFormat="1" ht="36.75" customHeight="1" x14ac:dyDescent="0.2">
      <c r="A72" s="547"/>
      <c r="B72" s="547"/>
      <c r="C72" s="556"/>
      <c r="D72" s="556"/>
      <c r="E72" s="556"/>
      <c r="F72" s="556"/>
      <c r="G72" s="556"/>
      <c r="H72" s="556"/>
      <c r="I72" s="556"/>
      <c r="J72" s="560"/>
      <c r="K72" s="560"/>
    </row>
    <row r="73" spans="1:11" s="396" customFormat="1" ht="38.25" customHeight="1" x14ac:dyDescent="0.2">
      <c r="A73" s="497"/>
      <c r="B73" s="497"/>
      <c r="C73" s="556"/>
      <c r="D73" s="556"/>
      <c r="E73" s="556"/>
      <c r="F73" s="556"/>
      <c r="G73" s="556"/>
      <c r="H73" s="556"/>
      <c r="I73" s="556"/>
      <c r="J73" s="560"/>
      <c r="K73" s="560"/>
    </row>
    <row r="74" spans="1:11" s="396" customFormat="1" ht="38.25" customHeight="1" x14ac:dyDescent="0.2">
      <c r="A74" s="497"/>
      <c r="B74" s="497"/>
      <c r="C74" s="556"/>
      <c r="D74" s="556"/>
      <c r="E74" s="556"/>
      <c r="F74" s="556"/>
      <c r="G74" s="556"/>
      <c r="H74" s="556"/>
      <c r="I74" s="556"/>
      <c r="J74" s="560"/>
      <c r="K74" s="560"/>
    </row>
    <row r="75" spans="1:11" ht="27.75" x14ac:dyDescent="0.2">
      <c r="C75" s="556"/>
      <c r="D75" s="556"/>
      <c r="E75" s="556"/>
      <c r="F75" s="556"/>
      <c r="G75" s="556"/>
      <c r="H75" s="556"/>
      <c r="I75" s="556"/>
      <c r="J75" s="560"/>
      <c r="K75" s="560"/>
    </row>
    <row r="76" spans="1:11" ht="27" x14ac:dyDescent="0.35">
      <c r="C76" s="154"/>
      <c r="D76" s="154"/>
      <c r="E76" s="154"/>
      <c r="F76" s="154"/>
      <c r="G76" s="154"/>
      <c r="H76" s="154"/>
      <c r="I76" s="154"/>
      <c r="J76" s="390"/>
      <c r="K76" s="390"/>
    </row>
    <row r="77" spans="1:11" ht="27" x14ac:dyDescent="0.35">
      <c r="C77" s="154"/>
      <c r="D77" s="154"/>
      <c r="E77" s="154"/>
      <c r="F77" s="154"/>
      <c r="G77" s="154"/>
      <c r="H77" s="154"/>
      <c r="I77" s="154"/>
      <c r="J77" s="390"/>
      <c r="K77" s="390"/>
    </row>
    <row r="78" spans="1:11" ht="27.75" x14ac:dyDescent="0.35">
      <c r="C78" s="556"/>
      <c r="D78" s="556"/>
      <c r="E78" s="556"/>
      <c r="F78" s="556"/>
      <c r="G78" s="556"/>
      <c r="H78" s="556"/>
      <c r="I78" s="154"/>
      <c r="J78" s="390"/>
      <c r="K78" s="390"/>
    </row>
    <row r="79" spans="1:11" ht="27.75" x14ac:dyDescent="0.35">
      <c r="C79" s="556"/>
      <c r="D79" s="556"/>
      <c r="E79" s="556"/>
      <c r="F79" s="556"/>
      <c r="G79" s="556"/>
      <c r="H79" s="556"/>
      <c r="I79" s="154"/>
      <c r="J79" s="390"/>
      <c r="K79" s="390"/>
    </row>
    <row r="80" spans="1:11" ht="27.75" x14ac:dyDescent="0.2">
      <c r="C80" s="557"/>
      <c r="D80" s="557"/>
      <c r="E80" s="557"/>
      <c r="F80" s="557"/>
      <c r="G80" s="557"/>
      <c r="H80" s="557"/>
      <c r="I80" s="556"/>
      <c r="J80" s="560"/>
      <c r="K80" s="560"/>
    </row>
    <row r="81" spans="5:11" ht="67.5" customHeight="1" x14ac:dyDescent="0.3">
      <c r="E81" s="390"/>
      <c r="F81" s="390"/>
      <c r="G81" s="390"/>
      <c r="H81" s="390"/>
      <c r="I81" s="547"/>
      <c r="J81" s="561"/>
      <c r="K81" s="561"/>
    </row>
  </sheetData>
  <sheetProtection formatCells="0" formatColumns="0" formatRows="0" insertColumns="0" insertRows="0" insertHyperlinks="0" deleteColumns="0" deleteRows="0" sort="0" autoFilter="0" pivotTables="0"/>
  <mergeCells count="40">
    <mergeCell ref="A1:I10"/>
    <mergeCell ref="A11:J11"/>
    <mergeCell ref="F12:H12"/>
    <mergeCell ref="A13:A14"/>
    <mergeCell ref="B13:B14"/>
    <mergeCell ref="C13:C14"/>
    <mergeCell ref="D13:D14"/>
    <mergeCell ref="E13:E14"/>
    <mergeCell ref="F13:F14"/>
    <mergeCell ref="G13:G14"/>
    <mergeCell ref="H13:H14"/>
    <mergeCell ref="P39:P40"/>
    <mergeCell ref="T39:T42"/>
    <mergeCell ref="P41:P42"/>
    <mergeCell ref="O13:P13"/>
    <mergeCell ref="O14:O27"/>
    <mergeCell ref="P14:P27"/>
    <mergeCell ref="T14:T27"/>
    <mergeCell ref="P28:P38"/>
    <mergeCell ref="T28:T38"/>
    <mergeCell ref="A15:A30"/>
    <mergeCell ref="B15:B17"/>
    <mergeCell ref="B18:B22"/>
    <mergeCell ref="B23:B30"/>
    <mergeCell ref="O28:O42"/>
    <mergeCell ref="A31:A42"/>
    <mergeCell ref="B31:B36"/>
    <mergeCell ref="B37:B42"/>
    <mergeCell ref="T43:T44"/>
    <mergeCell ref="U43:U44"/>
    <mergeCell ref="O45:P45"/>
    <mergeCell ref="B43:B45"/>
    <mergeCell ref="A60:C61"/>
    <mergeCell ref="D60:D61"/>
    <mergeCell ref="A43:A48"/>
    <mergeCell ref="O43:P44"/>
    <mergeCell ref="Q43:Q44"/>
    <mergeCell ref="R43:R44"/>
    <mergeCell ref="S43:S44"/>
    <mergeCell ref="B46:B48"/>
  </mergeCells>
  <printOptions horizontalCentered="1"/>
  <pageMargins left="0" right="0" top="0" bottom="0" header="0" footer="0"/>
  <pageSetup paperSize="9" scale="29" orientation="landscape" r:id="rId1"/>
  <headerFooter alignWithMargins="0">
    <oddFooter>&amp;R&amp;26Стр. &amp;P из  &amp;N
&amp;A</oddFooter>
  </headerFooter>
  <ignoredErrors>
    <ignoredError sqref="I28" formula="1"/>
  </ignoredErrors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6">
    <pageSetUpPr fitToPage="1"/>
  </sheetPr>
  <dimension ref="A1:P76"/>
  <sheetViews>
    <sheetView topLeftCell="A23" zoomScale="55" zoomScaleNormal="55" zoomScaleSheetLayoutView="30" workbookViewId="0">
      <selection sqref="A1:C2"/>
    </sheetView>
  </sheetViews>
  <sheetFormatPr defaultRowHeight="12.75" x14ac:dyDescent="0.2"/>
  <cols>
    <col min="1" max="1" width="28.5703125" style="497" customWidth="1"/>
    <col min="2" max="2" width="31.42578125" style="497" customWidth="1"/>
    <col min="3" max="3" width="36.85546875" style="497" customWidth="1"/>
    <col min="4" max="4" width="28.5703125" style="497" customWidth="1"/>
    <col min="5" max="5" width="75.7109375" style="497" customWidth="1"/>
    <col min="6" max="6" width="21.7109375" style="497" customWidth="1"/>
    <col min="7" max="10" width="28.5703125" style="497" customWidth="1"/>
    <col min="11" max="16384" width="9.140625" style="497"/>
  </cols>
  <sheetData>
    <row r="1" spans="1:16" x14ac:dyDescent="0.2">
      <c r="A1" s="3851"/>
      <c r="B1" s="3851"/>
      <c r="C1" s="3851"/>
      <c r="D1" s="3851"/>
      <c r="E1" s="3851"/>
      <c r="F1" s="3851"/>
      <c r="G1" s="3851"/>
      <c r="H1" s="3851"/>
      <c r="I1" s="3851"/>
    </row>
    <row r="2" spans="1:16" x14ac:dyDescent="0.2">
      <c r="A2" s="3851"/>
      <c r="B2" s="3851"/>
      <c r="C2" s="3851"/>
      <c r="D2" s="3851"/>
      <c r="E2" s="3851"/>
      <c r="F2" s="3851"/>
      <c r="G2" s="3851"/>
      <c r="H2" s="3851"/>
      <c r="I2" s="3851"/>
    </row>
    <row r="3" spans="1:16" x14ac:dyDescent="0.2">
      <c r="A3" s="3851"/>
      <c r="B3" s="3851"/>
      <c r="C3" s="3851"/>
      <c r="D3" s="3851"/>
      <c r="E3" s="3851"/>
      <c r="F3" s="3851"/>
      <c r="G3" s="3851"/>
      <c r="H3" s="3851"/>
      <c r="I3" s="3851"/>
    </row>
    <row r="4" spans="1:16" x14ac:dyDescent="0.2">
      <c r="A4" s="3851"/>
      <c r="B4" s="3851"/>
      <c r="C4" s="3851"/>
      <c r="D4" s="3851"/>
      <c r="E4" s="3851"/>
      <c r="F4" s="3851"/>
      <c r="G4" s="3851"/>
      <c r="H4" s="3851"/>
      <c r="I4" s="3851"/>
    </row>
    <row r="5" spans="1:16" x14ac:dyDescent="0.2">
      <c r="A5" s="3851"/>
      <c r="B5" s="3851"/>
      <c r="C5" s="3851"/>
      <c r="D5" s="3851"/>
      <c r="E5" s="3851"/>
      <c r="F5" s="3851"/>
      <c r="G5" s="3851"/>
      <c r="H5" s="3851"/>
      <c r="I5" s="3851"/>
    </row>
    <row r="6" spans="1:16" x14ac:dyDescent="0.2">
      <c r="A6" s="3851"/>
      <c r="B6" s="3851"/>
      <c r="C6" s="3851"/>
      <c r="D6" s="3851"/>
      <c r="E6" s="3851"/>
      <c r="F6" s="3851"/>
      <c r="G6" s="3851"/>
      <c r="H6" s="3851"/>
      <c r="I6" s="3851"/>
    </row>
    <row r="7" spans="1:16" ht="45" customHeight="1" thickBot="1" x14ac:dyDescent="0.25">
      <c r="A7" s="3852"/>
      <c r="B7" s="3852"/>
      <c r="C7" s="3852"/>
      <c r="D7" s="3852"/>
      <c r="E7" s="3852"/>
      <c r="F7" s="3852"/>
      <c r="G7" s="3852"/>
      <c r="H7" s="3852"/>
      <c r="I7" s="3852"/>
    </row>
    <row r="8" spans="1:16" ht="33.75" x14ac:dyDescent="0.2">
      <c r="B8" s="562"/>
      <c r="C8" s="562"/>
      <c r="D8" s="562" t="s">
        <v>1009</v>
      </c>
      <c r="E8" s="562"/>
      <c r="F8" s="562"/>
      <c r="G8" s="562"/>
      <c r="H8" s="562"/>
      <c r="I8" s="562"/>
      <c r="J8" s="562"/>
      <c r="K8" s="563"/>
      <c r="L8" s="563"/>
      <c r="M8" s="563"/>
      <c r="N8" s="563"/>
      <c r="O8" s="563"/>
      <c r="P8" s="563"/>
    </row>
    <row r="9" spans="1:16" ht="23.25" customHeight="1" x14ac:dyDescent="0.35">
      <c r="A9" s="500"/>
      <c r="B9" s="500"/>
      <c r="C9" s="500"/>
      <c r="D9" s="390"/>
      <c r="E9" s="390"/>
      <c r="F9" s="3924" t="s">
        <v>1</v>
      </c>
      <c r="G9" s="3924"/>
      <c r="H9" s="3924"/>
      <c r="I9" s="564">
        <v>42485</v>
      </c>
      <c r="J9" s="384"/>
      <c r="K9" s="565"/>
      <c r="L9" s="390"/>
      <c r="M9" s="390"/>
      <c r="N9" s="390"/>
      <c r="O9" s="390"/>
      <c r="P9" s="390"/>
    </row>
    <row r="10" spans="1:16" ht="70.5" customHeight="1" x14ac:dyDescent="0.3">
      <c r="A10" s="566" t="s">
        <v>955</v>
      </c>
      <c r="B10" s="3925" t="s">
        <v>399</v>
      </c>
      <c r="C10" s="3925"/>
      <c r="D10" s="567" t="s">
        <v>962</v>
      </c>
      <c r="E10" s="567" t="s">
        <v>957</v>
      </c>
      <c r="F10" s="567" t="s">
        <v>963</v>
      </c>
      <c r="G10" s="567" t="s">
        <v>964</v>
      </c>
      <c r="H10" s="568" t="s">
        <v>960</v>
      </c>
      <c r="I10" s="569" t="s">
        <v>965</v>
      </c>
      <c r="J10" s="390"/>
      <c r="K10" s="390"/>
      <c r="L10" s="390"/>
      <c r="M10" s="390"/>
      <c r="N10" s="390"/>
      <c r="O10" s="390"/>
      <c r="P10" s="390"/>
    </row>
    <row r="11" spans="1:16" ht="20.25" customHeight="1" x14ac:dyDescent="0.3">
      <c r="A11" s="3926"/>
      <c r="B11" s="3929" t="s">
        <v>1010</v>
      </c>
      <c r="C11" s="3929" t="s">
        <v>968</v>
      </c>
      <c r="D11" s="570">
        <v>1.5</v>
      </c>
      <c r="E11" s="570" t="s">
        <v>970</v>
      </c>
      <c r="F11" s="571">
        <v>2</v>
      </c>
      <c r="G11" s="570">
        <v>4.0199999999999996</v>
      </c>
      <c r="H11" s="3858">
        <v>96</v>
      </c>
      <c r="I11" s="572">
        <f>ROUND(482*(1-$B$75),2)</f>
        <v>482</v>
      </c>
      <c r="J11" s="390"/>
      <c r="K11" s="390"/>
      <c r="L11" s="390"/>
      <c r="M11" s="390"/>
      <c r="N11" s="390"/>
      <c r="O11" s="390"/>
      <c r="P11" s="390"/>
    </row>
    <row r="12" spans="1:16" ht="20.25" customHeight="1" x14ac:dyDescent="0.3">
      <c r="A12" s="3927"/>
      <c r="B12" s="3930"/>
      <c r="C12" s="3930"/>
      <c r="D12" s="573">
        <v>2</v>
      </c>
      <c r="E12" s="573" t="s">
        <v>970</v>
      </c>
      <c r="F12" s="574">
        <v>3</v>
      </c>
      <c r="G12" s="573">
        <v>5.36</v>
      </c>
      <c r="H12" s="3859"/>
      <c r="I12" s="575">
        <f>ROUND(616*(1-$B$75),2)</f>
        <v>616</v>
      </c>
      <c r="J12" s="390"/>
      <c r="K12" s="390"/>
      <c r="L12" s="390"/>
      <c r="M12" s="390"/>
      <c r="N12" s="390"/>
      <c r="O12" s="390"/>
      <c r="P12" s="390"/>
    </row>
    <row r="13" spans="1:16" ht="20.25" customHeight="1" x14ac:dyDescent="0.3">
      <c r="A13" s="3927"/>
      <c r="B13" s="3930"/>
      <c r="C13" s="3930"/>
      <c r="D13" s="573">
        <v>2.2000000000000002</v>
      </c>
      <c r="E13" s="573" t="s">
        <v>970</v>
      </c>
      <c r="F13" s="574">
        <v>3</v>
      </c>
      <c r="G13" s="576">
        <v>5.9</v>
      </c>
      <c r="H13" s="3859"/>
      <c r="I13" s="575">
        <f>ROUND(678*(1-$B$75),2)</f>
        <v>678</v>
      </c>
      <c r="J13" s="390"/>
      <c r="K13" s="390"/>
      <c r="L13" s="390"/>
      <c r="M13" s="390"/>
      <c r="N13" s="390"/>
      <c r="O13" s="390"/>
      <c r="P13" s="390"/>
    </row>
    <row r="14" spans="1:16" ht="23.25" x14ac:dyDescent="0.3">
      <c r="A14" s="3927"/>
      <c r="B14" s="3930"/>
      <c r="C14" s="3930"/>
      <c r="D14" s="573">
        <v>2.5</v>
      </c>
      <c r="E14" s="573" t="s">
        <v>970</v>
      </c>
      <c r="F14" s="574">
        <v>4</v>
      </c>
      <c r="G14" s="576">
        <v>6.7</v>
      </c>
      <c r="H14" s="3859"/>
      <c r="I14" s="575">
        <f>ROUND(740*(1-$B$75),2)</f>
        <v>740</v>
      </c>
      <c r="J14" s="390"/>
      <c r="K14" s="390"/>
      <c r="L14" s="390"/>
      <c r="M14" s="390"/>
      <c r="N14" s="390"/>
      <c r="O14" s="390"/>
      <c r="P14" s="390"/>
    </row>
    <row r="15" spans="1:16" ht="23.25" x14ac:dyDescent="0.3">
      <c r="A15" s="3927"/>
      <c r="B15" s="3931"/>
      <c r="C15" s="3931"/>
      <c r="D15" s="577">
        <v>3</v>
      </c>
      <c r="E15" s="577" t="s">
        <v>970</v>
      </c>
      <c r="F15" s="578">
        <v>4</v>
      </c>
      <c r="G15" s="577">
        <v>8.0399999999999991</v>
      </c>
      <c r="H15" s="3860"/>
      <c r="I15" s="579">
        <f>ROUND(885*(1-$B$75),2)</f>
        <v>885</v>
      </c>
      <c r="J15" s="390"/>
      <c r="K15" s="390"/>
      <c r="L15" s="390"/>
      <c r="M15" s="390"/>
      <c r="N15" s="390"/>
      <c r="O15" s="390"/>
      <c r="P15" s="390"/>
    </row>
    <row r="16" spans="1:16" ht="23.25" x14ac:dyDescent="0.3">
      <c r="A16" s="3927"/>
      <c r="B16" s="3929" t="s">
        <v>986</v>
      </c>
      <c r="C16" s="3889" t="s">
        <v>968</v>
      </c>
      <c r="D16" s="573">
        <v>1.1000000000000001</v>
      </c>
      <c r="E16" s="573" t="s">
        <v>978</v>
      </c>
      <c r="F16" s="574">
        <v>2</v>
      </c>
      <c r="G16" s="573">
        <v>2.94</v>
      </c>
      <c r="H16" s="3858">
        <v>96</v>
      </c>
      <c r="I16" s="575">
        <f>ROUND(500*(1-$B$75),2)</f>
        <v>500</v>
      </c>
      <c r="J16" s="390"/>
      <c r="K16" s="390"/>
      <c r="L16" s="390"/>
      <c r="M16" s="390"/>
      <c r="N16" s="390"/>
      <c r="O16" s="390"/>
      <c r="P16" s="390"/>
    </row>
    <row r="17" spans="1:16" ht="23.25" x14ac:dyDescent="0.3">
      <c r="A17" s="3927"/>
      <c r="B17" s="3930"/>
      <c r="C17" s="3891"/>
      <c r="D17" s="573">
        <v>1.5</v>
      </c>
      <c r="E17" s="573" t="s">
        <v>978</v>
      </c>
      <c r="F17" s="574">
        <v>2</v>
      </c>
      <c r="G17" s="573">
        <v>4.0199999999999996</v>
      </c>
      <c r="H17" s="3859"/>
      <c r="I17" s="575">
        <f>ROUND(663*(1-$B$75),2)</f>
        <v>663</v>
      </c>
      <c r="J17" s="390"/>
      <c r="K17" s="390"/>
      <c r="L17" s="390"/>
      <c r="M17" s="390"/>
      <c r="N17" s="390"/>
      <c r="O17" s="390"/>
      <c r="P17" s="390"/>
    </row>
    <row r="18" spans="1:16" ht="46.5" x14ac:dyDescent="0.3">
      <c r="A18" s="3927"/>
      <c r="B18" s="3930"/>
      <c r="C18" s="3891"/>
      <c r="D18" s="573">
        <v>2</v>
      </c>
      <c r="E18" s="580" t="s">
        <v>982</v>
      </c>
      <c r="F18" s="574">
        <v>3</v>
      </c>
      <c r="G18" s="573">
        <v>5.36</v>
      </c>
      <c r="H18" s="3859"/>
      <c r="I18" s="575">
        <f>ROUND(857*(1-$B$75),2)</f>
        <v>857</v>
      </c>
      <c r="J18" s="390"/>
      <c r="K18" s="390"/>
      <c r="L18" s="390"/>
      <c r="M18" s="390"/>
      <c r="N18" s="390"/>
      <c r="O18" s="390"/>
      <c r="P18" s="390"/>
    </row>
    <row r="19" spans="1:16" ht="46.5" x14ac:dyDescent="0.3">
      <c r="A19" s="3927"/>
      <c r="B19" s="3930"/>
      <c r="C19" s="3891"/>
      <c r="D19" s="573">
        <v>2.2000000000000002</v>
      </c>
      <c r="E19" s="580" t="s">
        <v>982</v>
      </c>
      <c r="F19" s="574">
        <v>3</v>
      </c>
      <c r="G19" s="576">
        <v>5.9</v>
      </c>
      <c r="H19" s="3859"/>
      <c r="I19" s="575">
        <f>ROUND(944*(1-$B$75),2)</f>
        <v>944</v>
      </c>
      <c r="J19" s="390"/>
      <c r="K19" s="390"/>
      <c r="L19" s="390"/>
      <c r="M19" s="390"/>
      <c r="N19" s="390"/>
      <c r="O19" s="390"/>
      <c r="P19" s="390"/>
    </row>
    <row r="20" spans="1:16" ht="93" x14ac:dyDescent="0.3">
      <c r="A20" s="3927"/>
      <c r="B20" s="3930"/>
      <c r="C20" s="3891"/>
      <c r="D20" s="573">
        <v>2.5</v>
      </c>
      <c r="E20" s="580" t="s">
        <v>2199</v>
      </c>
      <c r="F20" s="574">
        <v>4</v>
      </c>
      <c r="G20" s="576">
        <v>6.7</v>
      </c>
      <c r="H20" s="3859"/>
      <c r="I20" s="575">
        <f>ROUND(1039*(1-$B$75),2)</f>
        <v>1039</v>
      </c>
      <c r="J20" s="390"/>
      <c r="K20" s="390"/>
      <c r="L20" s="390"/>
      <c r="M20" s="390"/>
      <c r="N20" s="390"/>
      <c r="O20" s="390"/>
      <c r="P20" s="390"/>
    </row>
    <row r="21" spans="1:16" ht="20.25" customHeight="1" x14ac:dyDescent="0.3">
      <c r="A21" s="3927"/>
      <c r="B21" s="3930"/>
      <c r="C21" s="3891"/>
      <c r="D21" s="573">
        <v>3</v>
      </c>
      <c r="E21" s="580" t="s">
        <v>993</v>
      </c>
      <c r="F21" s="574">
        <v>4</v>
      </c>
      <c r="G21" s="573">
        <v>8.0399999999999991</v>
      </c>
      <c r="H21" s="3859"/>
      <c r="I21" s="575">
        <f>ROUND(1246*(1-$B$75),2)</f>
        <v>1246</v>
      </c>
      <c r="J21" s="390"/>
      <c r="K21" s="390"/>
      <c r="L21" s="390"/>
      <c r="M21" s="390"/>
      <c r="N21" s="390"/>
      <c r="O21" s="390"/>
      <c r="P21" s="390"/>
    </row>
    <row r="22" spans="1:16" ht="20.25" customHeight="1" x14ac:dyDescent="0.3">
      <c r="A22" s="3927"/>
      <c r="B22" s="3930"/>
      <c r="C22" s="3932"/>
      <c r="D22" s="573" t="s">
        <v>1011</v>
      </c>
      <c r="E22" s="580" t="s">
        <v>993</v>
      </c>
      <c r="F22" s="574">
        <v>6</v>
      </c>
      <c r="G22" s="573">
        <v>10.72</v>
      </c>
      <c r="H22" s="3933"/>
      <c r="I22" s="575">
        <f>ROUND(1621*(1-$B$75),2)</f>
        <v>1621</v>
      </c>
      <c r="J22" s="390"/>
      <c r="K22" s="390"/>
      <c r="L22" s="390"/>
      <c r="M22" s="390"/>
      <c r="N22" s="390"/>
      <c r="O22" s="390"/>
      <c r="P22" s="390"/>
    </row>
    <row r="23" spans="1:16" ht="23.25" x14ac:dyDescent="0.3">
      <c r="A23" s="3927"/>
      <c r="B23" s="3930"/>
      <c r="C23" s="3934" t="s">
        <v>995</v>
      </c>
      <c r="D23" s="581" t="s">
        <v>1011</v>
      </c>
      <c r="E23" s="573" t="s">
        <v>978</v>
      </c>
      <c r="F23" s="574">
        <v>6</v>
      </c>
      <c r="G23" s="576">
        <v>18.2</v>
      </c>
      <c r="H23" s="3935">
        <v>72</v>
      </c>
      <c r="I23" s="575">
        <f>ROUND(2654*(1-$B$75),2)</f>
        <v>2654</v>
      </c>
      <c r="J23" s="390"/>
      <c r="K23" s="390"/>
      <c r="L23" s="390"/>
      <c r="M23" s="390"/>
      <c r="N23" s="390"/>
      <c r="O23" s="390"/>
      <c r="P23" s="390"/>
    </row>
    <row r="24" spans="1:16" ht="23.25" x14ac:dyDescent="0.3">
      <c r="A24" s="3928"/>
      <c r="B24" s="3931"/>
      <c r="C24" s="3893"/>
      <c r="D24" s="582" t="s">
        <v>1012</v>
      </c>
      <c r="E24" s="577" t="s">
        <v>978</v>
      </c>
      <c r="F24" s="578">
        <v>8</v>
      </c>
      <c r="G24" s="577">
        <v>22.75</v>
      </c>
      <c r="H24" s="3923"/>
      <c r="I24" s="579">
        <f>ROUND(3317*(1-$B$75),2)</f>
        <v>3317</v>
      </c>
      <c r="J24" s="390"/>
      <c r="K24" s="390"/>
      <c r="L24" s="390"/>
      <c r="M24" s="390"/>
      <c r="N24" s="390"/>
      <c r="O24" s="390"/>
      <c r="P24" s="390"/>
    </row>
    <row r="25" spans="1:16" ht="51.75" customHeight="1" x14ac:dyDescent="0.3">
      <c r="A25" s="3827"/>
      <c r="B25" s="3873" t="s">
        <v>1013</v>
      </c>
      <c r="C25" s="583">
        <v>51</v>
      </c>
      <c r="D25" s="584">
        <v>2</v>
      </c>
      <c r="E25" s="3875" t="s">
        <v>970</v>
      </c>
      <c r="F25" s="3877" t="s">
        <v>17</v>
      </c>
      <c r="G25" s="585">
        <v>3.85</v>
      </c>
      <c r="H25" s="3880">
        <v>140</v>
      </c>
      <c r="I25" s="586">
        <f>ROUND(468*(1-$B$75),2)</f>
        <v>468</v>
      </c>
      <c r="J25" s="390"/>
      <c r="K25" s="390"/>
      <c r="L25" s="390"/>
      <c r="M25" s="390"/>
      <c r="N25" s="390"/>
      <c r="O25" s="390"/>
      <c r="P25" s="390"/>
    </row>
    <row r="26" spans="1:16" ht="60.75" customHeight="1" x14ac:dyDescent="0.3">
      <c r="A26" s="3841"/>
      <c r="B26" s="3874"/>
      <c r="C26" s="583">
        <v>51</v>
      </c>
      <c r="D26" s="584">
        <v>2.5</v>
      </c>
      <c r="E26" s="3876"/>
      <c r="F26" s="3878"/>
      <c r="G26" s="585">
        <v>4.8</v>
      </c>
      <c r="H26" s="3881"/>
      <c r="I26" s="586">
        <f>ROUND(581*(1-$B$75),2)</f>
        <v>581</v>
      </c>
      <c r="J26" s="390"/>
      <c r="K26" s="390"/>
      <c r="L26" s="390"/>
      <c r="M26" s="390"/>
      <c r="N26" s="390"/>
      <c r="O26" s="390"/>
      <c r="P26" s="390"/>
    </row>
    <row r="27" spans="1:16" ht="59.25" customHeight="1" x14ac:dyDescent="0.3">
      <c r="A27" s="3841"/>
      <c r="B27" s="3873" t="s">
        <v>1014</v>
      </c>
      <c r="C27" s="583">
        <v>51</v>
      </c>
      <c r="D27" s="584">
        <v>2</v>
      </c>
      <c r="E27" s="3875" t="s">
        <v>978</v>
      </c>
      <c r="F27" s="3878"/>
      <c r="G27" s="585">
        <v>3.85</v>
      </c>
      <c r="H27" s="3881"/>
      <c r="I27" s="586">
        <f>ROUND(562*(1-$B$75),2)</f>
        <v>562</v>
      </c>
      <c r="J27" s="390"/>
      <c r="K27" s="390"/>
      <c r="L27" s="390"/>
      <c r="M27" s="390"/>
      <c r="N27" s="390"/>
      <c r="O27" s="390"/>
      <c r="P27" s="390"/>
    </row>
    <row r="28" spans="1:16" ht="56.25" customHeight="1" x14ac:dyDescent="0.3">
      <c r="A28" s="3828"/>
      <c r="B28" s="3874"/>
      <c r="C28" s="583">
        <v>51</v>
      </c>
      <c r="D28" s="584">
        <v>2.5</v>
      </c>
      <c r="E28" s="3876"/>
      <c r="F28" s="3878"/>
      <c r="G28" s="585">
        <v>4.8</v>
      </c>
      <c r="H28" s="3882"/>
      <c r="I28" s="586">
        <f>ROUND(722*(1-$B$75),2)</f>
        <v>722</v>
      </c>
      <c r="J28" s="390"/>
      <c r="K28" s="390"/>
      <c r="L28" s="390"/>
      <c r="M28" s="390"/>
      <c r="N28" s="390"/>
      <c r="O28" s="390"/>
      <c r="P28" s="390"/>
    </row>
    <row r="29" spans="1:16" ht="56.25" customHeight="1" x14ac:dyDescent="0.3">
      <c r="A29" s="1559"/>
      <c r="B29" s="1564" t="s">
        <v>2318</v>
      </c>
      <c r="C29" s="1560" t="s">
        <v>2319</v>
      </c>
      <c r="D29" s="584">
        <v>2</v>
      </c>
      <c r="E29" s="1558" t="s">
        <v>1022</v>
      </c>
      <c r="F29" s="3878"/>
      <c r="G29" s="585">
        <v>1.95</v>
      </c>
      <c r="H29" s="1561">
        <v>140</v>
      </c>
      <c r="I29" s="586">
        <f>ROUND(416*(1-$B$75),2)</f>
        <v>416</v>
      </c>
      <c r="J29" s="390"/>
      <c r="K29" s="390"/>
      <c r="L29" s="390"/>
      <c r="M29" s="390"/>
      <c r="N29" s="390"/>
      <c r="O29" s="390"/>
      <c r="P29" s="390"/>
    </row>
    <row r="30" spans="1:16" ht="45.75" customHeight="1" x14ac:dyDescent="0.3">
      <c r="A30" s="3911"/>
      <c r="B30" s="3900" t="s">
        <v>1015</v>
      </c>
      <c r="C30" s="587" t="s">
        <v>1016</v>
      </c>
      <c r="D30" s="3903" t="s">
        <v>17</v>
      </c>
      <c r="E30" s="588" t="s">
        <v>1017</v>
      </c>
      <c r="F30" s="3878"/>
      <c r="G30" s="3922">
        <v>0.05</v>
      </c>
      <c r="H30" s="3923">
        <v>100</v>
      </c>
      <c r="I30" s="3916">
        <f>ROUND(51*(1-$B$75),2)</f>
        <v>51</v>
      </c>
      <c r="J30" s="390"/>
      <c r="K30" s="390"/>
      <c r="L30" s="390"/>
      <c r="M30" s="390"/>
      <c r="N30" s="390"/>
      <c r="O30" s="390"/>
      <c r="P30" s="390"/>
    </row>
    <row r="31" spans="1:16" ht="45.75" customHeight="1" x14ac:dyDescent="0.3">
      <c r="A31" s="3911"/>
      <c r="B31" s="3901"/>
      <c r="C31" s="587" t="s">
        <v>1018</v>
      </c>
      <c r="D31" s="3903"/>
      <c r="E31" s="1457" t="s">
        <v>2201</v>
      </c>
      <c r="F31" s="3878"/>
      <c r="G31" s="3922"/>
      <c r="H31" s="3923"/>
      <c r="I31" s="3917"/>
      <c r="J31" s="390"/>
      <c r="K31" s="390"/>
      <c r="L31" s="390"/>
      <c r="M31" s="390"/>
      <c r="N31" s="390"/>
      <c r="O31" s="390"/>
      <c r="P31" s="390"/>
    </row>
    <row r="32" spans="1:16" ht="45.75" customHeight="1" x14ac:dyDescent="0.3">
      <c r="A32" s="3911"/>
      <c r="B32" s="3902"/>
      <c r="C32" s="587" t="s">
        <v>1019</v>
      </c>
      <c r="D32" s="3903"/>
      <c r="E32" s="590" t="s">
        <v>1020</v>
      </c>
      <c r="F32" s="3878"/>
      <c r="G32" s="3922"/>
      <c r="H32" s="3923"/>
      <c r="I32" s="3918"/>
      <c r="J32" s="390"/>
      <c r="K32" s="390"/>
      <c r="L32" s="390"/>
      <c r="M32" s="390"/>
      <c r="N32" s="390"/>
      <c r="O32" s="390"/>
      <c r="P32" s="390"/>
    </row>
    <row r="33" spans="1:16" ht="60.75" customHeight="1" x14ac:dyDescent="0.3">
      <c r="A33" s="591"/>
      <c r="B33" s="3861" t="s">
        <v>1021</v>
      </c>
      <c r="C33" s="3861"/>
      <c r="D33" s="587" t="s">
        <v>17</v>
      </c>
      <c r="E33" s="587" t="s">
        <v>1022</v>
      </c>
      <c r="F33" s="3878"/>
      <c r="G33" s="592">
        <v>0.08</v>
      </c>
      <c r="H33" s="593">
        <v>100</v>
      </c>
      <c r="I33" s="594">
        <f>ROUND(89*(1-$B$75),2)</f>
        <v>89</v>
      </c>
      <c r="J33" s="390"/>
      <c r="K33" s="390"/>
      <c r="L33" s="390"/>
      <c r="M33" s="390"/>
      <c r="N33" s="390"/>
      <c r="O33" s="390"/>
      <c r="P33" s="390"/>
    </row>
    <row r="34" spans="1:16" ht="60.75" customHeight="1" x14ac:dyDescent="0.3">
      <c r="A34" s="591"/>
      <c r="B34" s="3861" t="s">
        <v>3401</v>
      </c>
      <c r="C34" s="3861"/>
      <c r="D34" s="587" t="s">
        <v>17</v>
      </c>
      <c r="E34" s="587" t="s">
        <v>1017</v>
      </c>
      <c r="F34" s="3878"/>
      <c r="G34" s="592"/>
      <c r="H34" s="593">
        <v>100</v>
      </c>
      <c r="I34" s="594">
        <f>ROUND(32*(1-$B$75),2)</f>
        <v>32</v>
      </c>
      <c r="J34" s="390"/>
      <c r="K34" s="390"/>
      <c r="L34" s="390"/>
      <c r="M34" s="390"/>
      <c r="N34" s="390"/>
      <c r="O34" s="390"/>
      <c r="P34" s="390"/>
    </row>
    <row r="35" spans="1:16" ht="95.25" customHeight="1" x14ac:dyDescent="0.3">
      <c r="A35" s="591"/>
      <c r="B35" s="3861" t="s">
        <v>1023</v>
      </c>
      <c r="C35" s="3861"/>
      <c r="D35" s="587" t="s">
        <v>968</v>
      </c>
      <c r="E35" s="587" t="s">
        <v>1024</v>
      </c>
      <c r="F35" s="3878"/>
      <c r="G35" s="595">
        <v>0.1</v>
      </c>
      <c r="H35" s="593">
        <v>100</v>
      </c>
      <c r="I35" s="594">
        <f>ROUND(89*(1-$B$75),2)</f>
        <v>89</v>
      </c>
      <c r="J35" s="390"/>
      <c r="K35" s="390"/>
      <c r="L35" s="390"/>
      <c r="M35" s="390"/>
      <c r="N35" s="390"/>
      <c r="O35" s="390"/>
      <c r="P35" s="390"/>
    </row>
    <row r="36" spans="1:16" ht="69.75" x14ac:dyDescent="0.3">
      <c r="A36" s="591"/>
      <c r="B36" s="3861" t="s">
        <v>1025</v>
      </c>
      <c r="C36" s="3861"/>
      <c r="D36" s="587" t="s">
        <v>1026</v>
      </c>
      <c r="E36" s="587" t="s">
        <v>1027</v>
      </c>
      <c r="F36" s="3878"/>
      <c r="G36" s="595">
        <v>0.1</v>
      </c>
      <c r="H36" s="593">
        <v>100</v>
      </c>
      <c r="I36" s="594">
        <f>ROUND(114*(1-$B$75),2)</f>
        <v>114</v>
      </c>
      <c r="J36" s="390"/>
      <c r="K36" s="390"/>
      <c r="L36" s="390"/>
      <c r="M36" s="390"/>
      <c r="N36" s="390"/>
      <c r="O36" s="390"/>
      <c r="P36" s="390"/>
    </row>
    <row r="37" spans="1:16" ht="66" customHeight="1" x14ac:dyDescent="0.3">
      <c r="A37" s="596"/>
      <c r="B37" s="3919" t="s">
        <v>1028</v>
      </c>
      <c r="C37" s="3919"/>
      <c r="D37" s="597" t="s">
        <v>1029</v>
      </c>
      <c r="E37" s="588" t="s">
        <v>1017</v>
      </c>
      <c r="F37" s="3878"/>
      <c r="G37" s="598">
        <v>0.1</v>
      </c>
      <c r="H37" s="599">
        <v>100</v>
      </c>
      <c r="I37" s="600">
        <f>ROUND(89*(1-$B$75),2)</f>
        <v>89</v>
      </c>
      <c r="J37" s="390"/>
      <c r="K37" s="390"/>
      <c r="L37" s="390"/>
      <c r="M37" s="390"/>
      <c r="N37" s="390"/>
      <c r="O37" s="390"/>
      <c r="P37" s="390"/>
    </row>
    <row r="38" spans="1:16" ht="69" customHeight="1" x14ac:dyDescent="0.3">
      <c r="A38" s="596"/>
      <c r="B38" s="3904" t="s">
        <v>2174</v>
      </c>
      <c r="C38" s="3904"/>
      <c r="D38" s="1447" t="s">
        <v>968</v>
      </c>
      <c r="E38" s="588" t="s">
        <v>1017</v>
      </c>
      <c r="F38" s="3878"/>
      <c r="G38" s="598">
        <v>0.1</v>
      </c>
      <c r="H38" s="599">
        <v>100</v>
      </c>
      <c r="I38" s="600">
        <f>ROUND(89*(1-$B$75),2)</f>
        <v>89</v>
      </c>
      <c r="J38" s="390"/>
      <c r="K38" s="390"/>
      <c r="L38" s="390"/>
      <c r="M38" s="390"/>
      <c r="N38" s="390"/>
      <c r="O38" s="390"/>
      <c r="P38" s="390"/>
    </row>
    <row r="39" spans="1:16" ht="59.25" customHeight="1" x14ac:dyDescent="0.3">
      <c r="A39" s="596"/>
      <c r="B39" s="3920" t="s">
        <v>1030</v>
      </c>
      <c r="C39" s="3921"/>
      <c r="D39" s="597" t="s">
        <v>17</v>
      </c>
      <c r="E39" s="601" t="s">
        <v>1031</v>
      </c>
      <c r="F39" s="3878"/>
      <c r="G39" s="598"/>
      <c r="H39" s="599">
        <v>100</v>
      </c>
      <c r="I39" s="600">
        <f>ROUND(22*(1-$B$75),2)</f>
        <v>22</v>
      </c>
      <c r="J39" s="390"/>
      <c r="K39" s="390"/>
      <c r="L39" s="390"/>
      <c r="M39" s="390"/>
      <c r="N39" s="390"/>
      <c r="O39" s="390"/>
      <c r="P39" s="390"/>
    </row>
    <row r="40" spans="1:16" ht="43.5" customHeight="1" x14ac:dyDescent="0.3">
      <c r="A40" s="602"/>
      <c r="B40" s="3861" t="s">
        <v>1032</v>
      </c>
      <c r="C40" s="3861"/>
      <c r="D40" s="587" t="s">
        <v>17</v>
      </c>
      <c r="E40" s="601" t="s">
        <v>1031</v>
      </c>
      <c r="F40" s="3878"/>
      <c r="G40" s="603">
        <v>8.0000000000000002E-3</v>
      </c>
      <c r="H40" s="599">
        <v>1500</v>
      </c>
      <c r="I40" s="604">
        <f>ROUND(39*(1-$B$75),2)</f>
        <v>39</v>
      </c>
      <c r="J40" s="390"/>
      <c r="K40" s="390"/>
      <c r="L40" s="390"/>
      <c r="M40" s="390"/>
      <c r="N40" s="390"/>
      <c r="O40" s="390"/>
      <c r="P40" s="390"/>
    </row>
    <row r="41" spans="1:16" ht="48.75" customHeight="1" x14ac:dyDescent="0.3">
      <c r="A41" s="602"/>
      <c r="B41" s="3883" t="s">
        <v>1033</v>
      </c>
      <c r="C41" s="3884"/>
      <c r="D41" s="587">
        <v>0.55000000000000004</v>
      </c>
      <c r="E41" s="601" t="s">
        <v>1027</v>
      </c>
      <c r="F41" s="3878"/>
      <c r="G41" s="595">
        <v>0.9</v>
      </c>
      <c r="H41" s="599">
        <v>16</v>
      </c>
      <c r="I41" s="604">
        <f>ROUND(620*(1-$B$75),2)</f>
        <v>620</v>
      </c>
      <c r="J41" s="390"/>
      <c r="K41" s="390"/>
      <c r="L41" s="390"/>
      <c r="M41" s="390"/>
      <c r="N41" s="390"/>
      <c r="O41" s="390"/>
      <c r="P41" s="390"/>
    </row>
    <row r="42" spans="1:16" ht="69.75" x14ac:dyDescent="0.3">
      <c r="A42" s="602"/>
      <c r="B42" s="3883" t="s">
        <v>1034</v>
      </c>
      <c r="C42" s="3884"/>
      <c r="D42" s="587">
        <v>0.55000000000000004</v>
      </c>
      <c r="E42" s="601" t="s">
        <v>1027</v>
      </c>
      <c r="F42" s="3878"/>
      <c r="G42" s="595">
        <v>0.9</v>
      </c>
      <c r="H42" s="599">
        <v>16</v>
      </c>
      <c r="I42" s="604">
        <f>ROUND(772*(1-$B$75),2)</f>
        <v>772</v>
      </c>
      <c r="J42" s="390"/>
      <c r="K42" s="390"/>
      <c r="L42" s="390"/>
      <c r="M42" s="390"/>
      <c r="N42" s="390"/>
      <c r="O42" s="390"/>
      <c r="P42" s="390"/>
    </row>
    <row r="43" spans="1:16" ht="69.75" x14ac:dyDescent="0.3">
      <c r="A43" s="602"/>
      <c r="B43" s="3861" t="s">
        <v>1035</v>
      </c>
      <c r="C43" s="3861"/>
      <c r="D43" s="587">
        <v>0.55000000000000004</v>
      </c>
      <c r="E43" s="601" t="s">
        <v>1027</v>
      </c>
      <c r="F43" s="3878"/>
      <c r="G43" s="603">
        <v>1.1100000000000001</v>
      </c>
      <c r="H43" s="599">
        <v>20</v>
      </c>
      <c r="I43" s="604">
        <f>ROUND(361*(1-$B$75),2)</f>
        <v>361</v>
      </c>
      <c r="J43" s="390"/>
      <c r="K43" s="390"/>
      <c r="L43" s="390"/>
      <c r="M43" s="390"/>
      <c r="N43" s="390"/>
      <c r="O43" s="390"/>
      <c r="P43" s="390"/>
    </row>
    <row r="44" spans="1:16" ht="39.75" customHeight="1" x14ac:dyDescent="0.3">
      <c r="A44" s="3898"/>
      <c r="B44" s="3883" t="s">
        <v>1036</v>
      </c>
      <c r="C44" s="3884"/>
      <c r="D44" s="587">
        <v>0.55000000000000004</v>
      </c>
      <c r="E44" s="587" t="s">
        <v>1022</v>
      </c>
      <c r="F44" s="3878"/>
      <c r="G44" s="599">
        <v>1.1000000000000001</v>
      </c>
      <c r="H44" s="599" t="s">
        <v>997</v>
      </c>
      <c r="I44" s="605">
        <f>ROUND(572*(1-$B$75),2)</f>
        <v>572</v>
      </c>
      <c r="J44" s="390"/>
      <c r="K44" s="390"/>
      <c r="L44" s="390"/>
      <c r="M44" s="390"/>
      <c r="N44" s="390"/>
      <c r="O44" s="390"/>
      <c r="P44" s="390"/>
    </row>
    <row r="45" spans="1:16" ht="45.75" customHeight="1" x14ac:dyDescent="0.3">
      <c r="A45" s="3899"/>
      <c r="B45" s="3883" t="s">
        <v>1037</v>
      </c>
      <c r="C45" s="3884"/>
      <c r="D45" s="587">
        <v>0.95</v>
      </c>
      <c r="E45" s="587" t="s">
        <v>1022</v>
      </c>
      <c r="F45" s="3878"/>
      <c r="G45" s="599">
        <v>1.86</v>
      </c>
      <c r="H45" s="599" t="s">
        <v>997</v>
      </c>
      <c r="I45" s="605">
        <f>ROUND(1276*(1-$B$75),2)</f>
        <v>1276</v>
      </c>
      <c r="J45" s="390"/>
      <c r="K45" s="390"/>
      <c r="L45" s="390"/>
      <c r="M45" s="390"/>
      <c r="N45" s="390"/>
      <c r="O45" s="390"/>
      <c r="P45" s="390"/>
    </row>
    <row r="46" spans="1:16" ht="45.75" customHeight="1" x14ac:dyDescent="0.3">
      <c r="A46" s="1888"/>
      <c r="B46" s="3912" t="s">
        <v>2904</v>
      </c>
      <c r="C46" s="3913"/>
      <c r="D46" s="1893" t="s">
        <v>2905</v>
      </c>
      <c r="E46" s="587"/>
      <c r="F46" s="3878"/>
      <c r="G46" s="1894">
        <v>4</v>
      </c>
      <c r="H46" s="1895" t="s">
        <v>997</v>
      </c>
      <c r="I46" s="1896">
        <f>ROUND(2745*(1-$B$75),2)</f>
        <v>2745</v>
      </c>
      <c r="J46" s="390"/>
      <c r="K46" s="390"/>
      <c r="L46" s="390"/>
      <c r="M46" s="390"/>
      <c r="N46" s="390"/>
      <c r="O46" s="390"/>
      <c r="P46" s="390"/>
    </row>
    <row r="47" spans="1:16" ht="65.25" customHeight="1" x14ac:dyDescent="0.3">
      <c r="A47" s="602"/>
      <c r="B47" s="3861" t="s">
        <v>1038</v>
      </c>
      <c r="C47" s="3861"/>
      <c r="D47" s="587" t="s">
        <v>17</v>
      </c>
      <c r="E47" s="601" t="s">
        <v>970</v>
      </c>
      <c r="F47" s="3878"/>
      <c r="G47" s="603">
        <v>2E-3</v>
      </c>
      <c r="H47" s="599">
        <v>200</v>
      </c>
      <c r="I47" s="604">
        <f>ROUND(13*(1-$B$75),2)</f>
        <v>13</v>
      </c>
      <c r="J47" s="390"/>
      <c r="K47" s="390"/>
      <c r="L47" s="390"/>
      <c r="M47" s="390"/>
      <c r="N47" s="390"/>
      <c r="O47" s="390"/>
      <c r="P47" s="390"/>
    </row>
    <row r="48" spans="1:16" ht="72" customHeight="1" x14ac:dyDescent="0.3">
      <c r="A48" s="602"/>
      <c r="B48" s="3861" t="s">
        <v>1039</v>
      </c>
      <c r="C48" s="3861"/>
      <c r="D48" s="587" t="s">
        <v>17</v>
      </c>
      <c r="E48" s="587" t="s">
        <v>17</v>
      </c>
      <c r="F48" s="3878"/>
      <c r="G48" s="603" t="s">
        <v>17</v>
      </c>
      <c r="H48" s="593">
        <v>100</v>
      </c>
      <c r="I48" s="604">
        <f>ROUND(19*(1-$B$75),2)</f>
        <v>19</v>
      </c>
      <c r="J48" s="390"/>
      <c r="K48" s="390"/>
      <c r="L48" s="390"/>
      <c r="M48" s="390"/>
      <c r="N48" s="390"/>
      <c r="O48" s="390"/>
      <c r="P48" s="390"/>
    </row>
    <row r="49" spans="1:16" ht="54.75" customHeight="1" x14ac:dyDescent="0.3">
      <c r="A49" s="602"/>
      <c r="B49" s="3883" t="s">
        <v>1040</v>
      </c>
      <c r="C49" s="3884"/>
      <c r="D49" s="587" t="s">
        <v>17</v>
      </c>
      <c r="E49" s="601" t="s">
        <v>1041</v>
      </c>
      <c r="F49" s="3878"/>
      <c r="G49" s="603"/>
      <c r="H49" s="593"/>
      <c r="I49" s="604">
        <f>ROUND(405*(1-$B$75),2)</f>
        <v>405</v>
      </c>
      <c r="J49" s="390"/>
      <c r="K49" s="390"/>
      <c r="L49" s="390"/>
      <c r="M49" s="390"/>
      <c r="N49" s="390"/>
      <c r="O49" s="390"/>
      <c r="P49" s="390"/>
    </row>
    <row r="50" spans="1:16" ht="71.25" customHeight="1" x14ac:dyDescent="0.3">
      <c r="A50" s="606"/>
      <c r="B50" s="3883" t="s">
        <v>1042</v>
      </c>
      <c r="C50" s="3884"/>
      <c r="D50" s="587" t="s">
        <v>17</v>
      </c>
      <c r="E50" s="601" t="s">
        <v>1043</v>
      </c>
      <c r="F50" s="3879"/>
      <c r="G50" s="607">
        <v>0.72</v>
      </c>
      <c r="H50" s="608">
        <v>2</v>
      </c>
      <c r="I50" s="609">
        <f>ROUND(494*(1-$B$75),2)</f>
        <v>494</v>
      </c>
      <c r="J50" s="390"/>
      <c r="K50" s="390"/>
      <c r="L50" s="390"/>
      <c r="M50" s="390"/>
      <c r="N50" s="390"/>
      <c r="O50" s="390"/>
      <c r="P50" s="390"/>
    </row>
    <row r="51" spans="1:16" ht="167.25" customHeight="1" x14ac:dyDescent="0.3">
      <c r="A51" s="610"/>
      <c r="B51" s="3885" t="s">
        <v>1044</v>
      </c>
      <c r="C51" s="3886"/>
      <c r="D51" s="601">
        <v>2.0649999999999999</v>
      </c>
      <c r="E51" s="589" t="s">
        <v>1022</v>
      </c>
      <c r="F51" s="601">
        <v>4</v>
      </c>
      <c r="G51" s="589">
        <v>3.37</v>
      </c>
      <c r="H51" s="593" t="s">
        <v>17</v>
      </c>
      <c r="I51" s="594">
        <f>ROUND(633*(1-$B$75),2)</f>
        <v>633</v>
      </c>
      <c r="J51" s="390"/>
      <c r="K51" s="390"/>
      <c r="L51" s="390"/>
      <c r="M51" s="390"/>
      <c r="N51" s="390"/>
      <c r="O51" s="390"/>
      <c r="P51" s="390"/>
    </row>
    <row r="52" spans="1:16" ht="57.75" customHeight="1" x14ac:dyDescent="0.3">
      <c r="A52" s="3827"/>
      <c r="B52" s="3894" t="s">
        <v>2220</v>
      </c>
      <c r="C52" s="3895"/>
      <c r="D52" s="1495">
        <v>1.2</v>
      </c>
      <c r="E52" s="3905" t="s">
        <v>970</v>
      </c>
      <c r="F52" s="3908" t="s">
        <v>17</v>
      </c>
      <c r="G52" s="1496">
        <v>6.65</v>
      </c>
      <c r="H52" s="3858" t="s">
        <v>1047</v>
      </c>
      <c r="I52" s="1497">
        <f>ROUND(1683*(1-$B$75),2)</f>
        <v>1683</v>
      </c>
      <c r="J52" s="390"/>
      <c r="K52" s="390"/>
      <c r="L52" s="390"/>
      <c r="M52" s="390"/>
      <c r="N52" s="390"/>
      <c r="O52" s="390"/>
      <c r="P52" s="390"/>
    </row>
    <row r="53" spans="1:16" ht="56.25" customHeight="1" x14ac:dyDescent="0.3">
      <c r="A53" s="3828"/>
      <c r="B53" s="3896"/>
      <c r="C53" s="3897"/>
      <c r="D53" s="1495">
        <v>1.5</v>
      </c>
      <c r="E53" s="3906"/>
      <c r="F53" s="3909"/>
      <c r="G53" s="1496">
        <v>8.35</v>
      </c>
      <c r="H53" s="3859"/>
      <c r="I53" s="1497">
        <f>ROUND(1964*(1-$B$75),2)</f>
        <v>1964</v>
      </c>
      <c r="J53" s="390"/>
      <c r="K53" s="390"/>
      <c r="L53" s="390"/>
      <c r="M53" s="390"/>
      <c r="N53" s="390"/>
      <c r="O53" s="390"/>
      <c r="P53" s="390"/>
    </row>
    <row r="54" spans="1:16" ht="56.25" customHeight="1" x14ac:dyDescent="0.3">
      <c r="A54" s="3827"/>
      <c r="B54" s="3894" t="s">
        <v>2221</v>
      </c>
      <c r="C54" s="3895"/>
      <c r="D54" s="1495">
        <v>1.2</v>
      </c>
      <c r="E54" s="3906"/>
      <c r="F54" s="3909"/>
      <c r="G54" s="1496">
        <v>5.5</v>
      </c>
      <c r="H54" s="3859"/>
      <c r="I54" s="1497">
        <f>ROUND(1619*(1-$B$75),2)</f>
        <v>1619</v>
      </c>
      <c r="J54" s="390"/>
      <c r="K54" s="390"/>
      <c r="L54" s="390"/>
      <c r="M54" s="390"/>
      <c r="N54" s="390"/>
      <c r="O54" s="390"/>
      <c r="P54" s="390"/>
    </row>
    <row r="55" spans="1:16" ht="56.25" customHeight="1" x14ac:dyDescent="0.3">
      <c r="A55" s="3841"/>
      <c r="B55" s="3914"/>
      <c r="C55" s="3915"/>
      <c r="D55" s="1495">
        <v>1.5</v>
      </c>
      <c r="E55" s="3906"/>
      <c r="F55" s="3909"/>
      <c r="G55" s="1496">
        <v>8.65</v>
      </c>
      <c r="H55" s="3859"/>
      <c r="I55" s="1497">
        <f>ROUND(1683*(1-$B$75),2)</f>
        <v>1683</v>
      </c>
      <c r="J55" s="390"/>
      <c r="K55" s="390"/>
      <c r="L55" s="390"/>
      <c r="M55" s="390"/>
      <c r="N55" s="390"/>
      <c r="O55" s="390"/>
      <c r="P55" s="390"/>
    </row>
    <row r="56" spans="1:16" ht="54" customHeight="1" x14ac:dyDescent="0.3">
      <c r="A56" s="3828"/>
      <c r="B56" s="3896"/>
      <c r="C56" s="3897"/>
      <c r="D56" s="1495">
        <v>1.8</v>
      </c>
      <c r="E56" s="3907"/>
      <c r="F56" s="3910"/>
      <c r="G56" s="1496">
        <v>11.8</v>
      </c>
      <c r="H56" s="3860"/>
      <c r="I56" s="1497">
        <f>ROUND(2343*(1-$B$75),2)</f>
        <v>2343</v>
      </c>
      <c r="J56" s="390"/>
      <c r="K56" s="390"/>
      <c r="L56" s="390"/>
      <c r="M56" s="390"/>
      <c r="N56" s="390"/>
      <c r="O56" s="390"/>
      <c r="P56" s="390"/>
    </row>
    <row r="57" spans="1:16" ht="93" customHeight="1" x14ac:dyDescent="0.3">
      <c r="A57" s="1739"/>
      <c r="B57" s="3862" t="s">
        <v>2591</v>
      </c>
      <c r="C57" s="3863"/>
      <c r="D57" s="601" t="s">
        <v>17</v>
      </c>
      <c r="E57" s="1741" t="s">
        <v>1022</v>
      </c>
      <c r="F57" s="601" t="s">
        <v>17</v>
      </c>
      <c r="G57" s="1496">
        <v>9.6</v>
      </c>
      <c r="H57" s="1740" t="s">
        <v>1047</v>
      </c>
      <c r="I57" s="1497">
        <f>ROUND(5495*(1-$B$75),2)</f>
        <v>5495</v>
      </c>
      <c r="J57" s="390"/>
      <c r="K57" s="390"/>
      <c r="L57" s="390"/>
      <c r="M57" s="390"/>
      <c r="N57" s="390"/>
      <c r="O57" s="390"/>
      <c r="P57" s="390"/>
    </row>
    <row r="58" spans="1:16" ht="20.25" customHeight="1" x14ac:dyDescent="0.3">
      <c r="A58" s="3887"/>
      <c r="B58" s="3888" t="s">
        <v>1045</v>
      </c>
      <c r="C58" s="3889"/>
      <c r="D58" s="3867" t="s">
        <v>1046</v>
      </c>
      <c r="E58" s="3868"/>
      <c r="F58" s="3868"/>
      <c r="G58" s="3869"/>
      <c r="H58" s="3858" t="s">
        <v>1047</v>
      </c>
      <c r="I58" s="3858">
        <f>ROUND(1465*(1-$B$75),2)</f>
        <v>1465</v>
      </c>
      <c r="J58" s="390"/>
      <c r="K58" s="390"/>
      <c r="L58" s="390"/>
      <c r="M58" s="390"/>
      <c r="N58" s="390"/>
      <c r="O58" s="390"/>
      <c r="P58" s="390"/>
    </row>
    <row r="59" spans="1:16" ht="20.25" x14ac:dyDescent="0.3">
      <c r="A59" s="3887"/>
      <c r="B59" s="3890"/>
      <c r="C59" s="3891"/>
      <c r="D59" s="3870"/>
      <c r="E59" s="3871"/>
      <c r="F59" s="3871"/>
      <c r="G59" s="3872"/>
      <c r="H59" s="3859"/>
      <c r="I59" s="3859"/>
      <c r="J59" s="390"/>
      <c r="K59" s="390"/>
      <c r="L59" s="390"/>
      <c r="M59" s="390"/>
      <c r="N59" s="390"/>
      <c r="O59" s="390"/>
      <c r="P59" s="390"/>
    </row>
    <row r="60" spans="1:16" ht="20.25" x14ac:dyDescent="0.3">
      <c r="A60" s="3887"/>
      <c r="B60" s="3890"/>
      <c r="C60" s="3891"/>
      <c r="D60" s="3870"/>
      <c r="E60" s="3871"/>
      <c r="F60" s="3871"/>
      <c r="G60" s="3872"/>
      <c r="H60" s="3859"/>
      <c r="I60" s="3859"/>
      <c r="J60" s="390"/>
      <c r="K60" s="390"/>
      <c r="L60" s="390"/>
      <c r="M60" s="390"/>
      <c r="N60" s="390"/>
      <c r="O60" s="390"/>
      <c r="P60" s="390"/>
    </row>
    <row r="61" spans="1:16" ht="16.5" customHeight="1" x14ac:dyDescent="0.3">
      <c r="A61" s="3887"/>
      <c r="B61" s="3892"/>
      <c r="C61" s="3893"/>
      <c r="D61" s="3870"/>
      <c r="E61" s="3871"/>
      <c r="F61" s="3871"/>
      <c r="G61" s="3872"/>
      <c r="H61" s="3860"/>
      <c r="I61" s="3860"/>
      <c r="J61" s="390"/>
      <c r="K61" s="390"/>
      <c r="L61" s="390"/>
      <c r="M61" s="390"/>
      <c r="N61" s="390"/>
      <c r="O61" s="390"/>
      <c r="P61" s="390"/>
    </row>
    <row r="62" spans="1:16" ht="69.75" customHeight="1" x14ac:dyDescent="0.3">
      <c r="A62" s="606"/>
      <c r="B62" s="3862" t="s">
        <v>2176</v>
      </c>
      <c r="C62" s="3863"/>
      <c r="D62" s="3864" t="s">
        <v>1048</v>
      </c>
      <c r="E62" s="3865"/>
      <c r="F62" s="3865"/>
      <c r="G62" s="3866"/>
      <c r="H62" s="611" t="s">
        <v>1047</v>
      </c>
      <c r="I62" s="611">
        <f>ROUND(2325*(1-$B$75),2)</f>
        <v>2325</v>
      </c>
      <c r="J62" s="390"/>
      <c r="K62" s="390"/>
      <c r="L62" s="390"/>
      <c r="M62" s="390"/>
      <c r="N62" s="390"/>
      <c r="O62" s="390"/>
      <c r="P62" s="390"/>
    </row>
    <row r="63" spans="1:16" ht="69.75" customHeight="1" x14ac:dyDescent="0.3">
      <c r="A63" s="1446"/>
      <c r="B63" s="3862" t="s">
        <v>2175</v>
      </c>
      <c r="C63" s="3863"/>
      <c r="D63" s="3864" t="s">
        <v>1048</v>
      </c>
      <c r="E63" s="3865"/>
      <c r="F63" s="3865"/>
      <c r="G63" s="3866"/>
      <c r="H63" s="611" t="s">
        <v>1047</v>
      </c>
      <c r="I63" s="611">
        <f>ROUND(743*(1-$B$75),2)</f>
        <v>743</v>
      </c>
      <c r="J63" s="390"/>
      <c r="K63" s="390"/>
      <c r="L63" s="390"/>
      <c r="M63" s="390"/>
      <c r="N63" s="390"/>
      <c r="O63" s="390"/>
      <c r="P63" s="390"/>
    </row>
    <row r="64" spans="1:16" ht="213" customHeight="1" x14ac:dyDescent="0.3">
      <c r="A64" s="612"/>
      <c r="B64" s="3883" t="s">
        <v>1049</v>
      </c>
      <c r="C64" s="3884"/>
      <c r="D64" s="613" t="s">
        <v>17</v>
      </c>
      <c r="E64" s="601" t="s">
        <v>1050</v>
      </c>
      <c r="F64" s="601" t="s">
        <v>17</v>
      </c>
      <c r="G64" s="613" t="s">
        <v>1051</v>
      </c>
      <c r="H64" s="593" t="s">
        <v>1052</v>
      </c>
      <c r="I64" s="594">
        <f>ROUND(255*(1-$B$75),2)</f>
        <v>255</v>
      </c>
      <c r="J64" s="390"/>
      <c r="K64" s="390"/>
      <c r="L64" s="390"/>
      <c r="M64" s="390"/>
      <c r="N64" s="390"/>
      <c r="O64" s="390"/>
      <c r="P64" s="390"/>
    </row>
    <row r="65" spans="1:16" ht="96" customHeight="1" x14ac:dyDescent="0.3">
      <c r="A65" s="612"/>
      <c r="B65" s="3861" t="s">
        <v>1053</v>
      </c>
      <c r="C65" s="3861"/>
      <c r="D65" s="613" t="s">
        <v>1054</v>
      </c>
      <c r="E65" s="613" t="s">
        <v>17</v>
      </c>
      <c r="F65" s="601" t="s">
        <v>17</v>
      </c>
      <c r="G65" s="613">
        <v>2</v>
      </c>
      <c r="H65" s="593" t="s">
        <v>1052</v>
      </c>
      <c r="I65" s="604">
        <f>ROUND(26000*(1-$B$75),2)</f>
        <v>26000</v>
      </c>
      <c r="J65" s="390"/>
      <c r="K65" s="390"/>
      <c r="L65" s="390"/>
      <c r="M65" s="390"/>
      <c r="N65" s="390"/>
      <c r="O65" s="390"/>
      <c r="P65" s="390"/>
    </row>
    <row r="66" spans="1:16" ht="20.25" x14ac:dyDescent="0.3">
      <c r="A66" s="390"/>
      <c r="B66" s="390"/>
      <c r="C66" s="390"/>
      <c r="D66" s="390"/>
      <c r="E66" s="390"/>
      <c r="F66" s="390"/>
      <c r="G66" s="390"/>
      <c r="H66" s="390"/>
      <c r="I66" s="390"/>
      <c r="J66" s="390"/>
      <c r="K66" s="390"/>
      <c r="L66" s="390"/>
      <c r="M66" s="390"/>
      <c r="N66" s="390"/>
      <c r="O66" s="390"/>
      <c r="P66" s="390"/>
    </row>
    <row r="67" spans="1:16" ht="23.25" x14ac:dyDescent="0.35">
      <c r="A67" s="614" t="s">
        <v>1055</v>
      </c>
      <c r="B67" s="392"/>
      <c r="C67" s="390"/>
      <c r="D67" s="390"/>
      <c r="E67" s="390"/>
      <c r="F67" s="390"/>
      <c r="G67" s="390"/>
      <c r="H67" s="390"/>
      <c r="I67" s="390"/>
      <c r="J67" s="390"/>
      <c r="K67" s="390"/>
      <c r="L67" s="390"/>
      <c r="M67" s="390"/>
      <c r="N67" s="390"/>
      <c r="O67" s="390"/>
      <c r="P67" s="390"/>
    </row>
    <row r="68" spans="1:16" ht="23.25" x14ac:dyDescent="0.35">
      <c r="A68" s="615"/>
      <c r="B68" s="392"/>
      <c r="C68" s="390"/>
      <c r="D68" s="390"/>
      <c r="E68" s="390"/>
      <c r="F68" s="390"/>
      <c r="G68" s="390"/>
      <c r="H68" s="390"/>
      <c r="I68" s="390"/>
      <c r="J68" s="390"/>
      <c r="K68" s="390"/>
      <c r="L68" s="390"/>
      <c r="M68" s="560"/>
      <c r="N68" s="560"/>
      <c r="O68" s="560"/>
      <c r="P68" s="560"/>
    </row>
    <row r="69" spans="1:16" ht="20.25" customHeight="1" x14ac:dyDescent="0.35">
      <c r="A69" s="616" t="s">
        <v>1056</v>
      </c>
      <c r="B69" s="392"/>
      <c r="C69" s="390"/>
      <c r="D69" s="390"/>
      <c r="E69" s="390"/>
      <c r="F69" s="390"/>
      <c r="G69" s="390"/>
      <c r="H69" s="390"/>
      <c r="I69" s="390"/>
      <c r="J69" s="390"/>
      <c r="K69" s="390"/>
      <c r="L69" s="390"/>
      <c r="M69" s="390"/>
      <c r="N69" s="390"/>
      <c r="O69" s="390"/>
      <c r="P69" s="390"/>
    </row>
    <row r="70" spans="1:16" ht="23.25" x14ac:dyDescent="0.3">
      <c r="A70" s="616" t="s">
        <v>1057</v>
      </c>
      <c r="B70" s="617"/>
      <c r="C70" s="560"/>
      <c r="D70" s="560"/>
      <c r="E70" s="560"/>
      <c r="F70" s="560"/>
      <c r="G70" s="560"/>
      <c r="H70" s="560"/>
      <c r="I70" s="390"/>
      <c r="J70" s="390"/>
      <c r="K70" s="390"/>
      <c r="L70" s="390"/>
      <c r="M70" s="618"/>
    </row>
    <row r="71" spans="1:16" ht="23.25" x14ac:dyDescent="0.3">
      <c r="A71" s="619" t="s">
        <v>1007</v>
      </c>
      <c r="B71" s="616"/>
      <c r="C71" s="561"/>
      <c r="D71" s="561"/>
      <c r="E71" s="561"/>
      <c r="F71" s="561"/>
      <c r="G71" s="561"/>
      <c r="H71" s="561"/>
      <c r="I71" s="561"/>
      <c r="J71" s="561"/>
      <c r="K71" s="561"/>
      <c r="L71" s="390"/>
      <c r="M71" s="390"/>
      <c r="N71" s="390"/>
      <c r="O71" s="390"/>
      <c r="P71" s="390"/>
    </row>
    <row r="72" spans="1:16" ht="23.25" x14ac:dyDescent="0.35">
      <c r="A72" s="615"/>
      <c r="B72" s="392"/>
      <c r="C72" s="390"/>
      <c r="D72" s="390"/>
      <c r="E72" s="390"/>
      <c r="F72" s="390"/>
      <c r="G72" s="390"/>
      <c r="H72" s="390"/>
      <c r="I72" s="390"/>
      <c r="J72" s="390"/>
      <c r="K72" s="390"/>
      <c r="L72" s="390"/>
      <c r="M72" s="390"/>
      <c r="N72" s="390"/>
      <c r="O72" s="390"/>
      <c r="P72" s="390"/>
    </row>
    <row r="73" spans="1:16" ht="23.25" x14ac:dyDescent="0.35">
      <c r="A73" s="616" t="s">
        <v>1008</v>
      </c>
      <c r="B73" s="615"/>
      <c r="C73" s="390"/>
      <c r="D73" s="390"/>
      <c r="E73" s="390"/>
      <c r="F73" s="390"/>
      <c r="G73" s="390"/>
      <c r="H73" s="390"/>
      <c r="I73" s="390"/>
      <c r="J73" s="390"/>
      <c r="K73" s="390"/>
      <c r="L73" s="390"/>
      <c r="M73" s="390"/>
      <c r="N73" s="390"/>
      <c r="O73" s="390"/>
      <c r="P73" s="390"/>
    </row>
    <row r="74" spans="1:16" ht="27.75" customHeight="1" x14ac:dyDescent="0.3">
      <c r="C74" s="390"/>
      <c r="D74" s="390"/>
      <c r="E74" s="390"/>
      <c r="F74" s="390"/>
      <c r="G74" s="390"/>
      <c r="H74" s="390"/>
      <c r="I74" s="390"/>
      <c r="J74" s="390"/>
      <c r="K74" s="390"/>
      <c r="L74" s="390"/>
      <c r="M74" s="390"/>
      <c r="N74" s="390"/>
      <c r="O74" s="390"/>
      <c r="P74" s="390"/>
    </row>
    <row r="75" spans="1:16" ht="67.5" x14ac:dyDescent="0.3">
      <c r="A75" s="620" t="s">
        <v>949</v>
      </c>
      <c r="B75" s="621">
        <v>0</v>
      </c>
      <c r="C75" s="390"/>
      <c r="D75" s="390"/>
      <c r="E75" s="390"/>
      <c r="F75" s="390"/>
      <c r="G75" s="390"/>
      <c r="H75" s="390"/>
      <c r="I75" s="390"/>
      <c r="J75" s="390"/>
      <c r="K75" s="390"/>
      <c r="L75" s="390"/>
      <c r="M75" s="390"/>
      <c r="N75" s="390"/>
      <c r="O75" s="390"/>
      <c r="P75" s="390"/>
    </row>
    <row r="76" spans="1:16" ht="20.25" x14ac:dyDescent="0.2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</row>
  </sheetData>
  <mergeCells count="64">
    <mergeCell ref="F9:H9"/>
    <mergeCell ref="B10:C10"/>
    <mergeCell ref="A11:A24"/>
    <mergeCell ref="B11:B15"/>
    <mergeCell ref="C11:C15"/>
    <mergeCell ref="H11:H15"/>
    <mergeCell ref="B16:B24"/>
    <mergeCell ref="C16:C22"/>
    <mergeCell ref="H16:H22"/>
    <mergeCell ref="C23:C24"/>
    <mergeCell ref="H23:H24"/>
    <mergeCell ref="I30:I32"/>
    <mergeCell ref="B33:C33"/>
    <mergeCell ref="B47:C47"/>
    <mergeCell ref="B35:C35"/>
    <mergeCell ref="B36:C36"/>
    <mergeCell ref="B37:C37"/>
    <mergeCell ref="B39:C39"/>
    <mergeCell ref="B40:C40"/>
    <mergeCell ref="B41:C41"/>
    <mergeCell ref="B42:C42"/>
    <mergeCell ref="B43:C43"/>
    <mergeCell ref="B44:C44"/>
    <mergeCell ref="B45:C45"/>
    <mergeCell ref="B34:C34"/>
    <mergeCell ref="G30:G32"/>
    <mergeCell ref="H30:H32"/>
    <mergeCell ref="D63:G63"/>
    <mergeCell ref="B50:C50"/>
    <mergeCell ref="A44:A45"/>
    <mergeCell ref="B48:C48"/>
    <mergeCell ref="B30:B32"/>
    <mergeCell ref="D30:D32"/>
    <mergeCell ref="B38:C38"/>
    <mergeCell ref="E52:E56"/>
    <mergeCell ref="F52:F56"/>
    <mergeCell ref="A30:A32"/>
    <mergeCell ref="B57:C57"/>
    <mergeCell ref="B46:C46"/>
    <mergeCell ref="B54:C56"/>
    <mergeCell ref="A54:A56"/>
    <mergeCell ref="B64:C64"/>
    <mergeCell ref="B51:C51"/>
    <mergeCell ref="A58:A61"/>
    <mergeCell ref="B58:C61"/>
    <mergeCell ref="B49:C49"/>
    <mergeCell ref="A52:A53"/>
    <mergeCell ref="B52:C53"/>
    <mergeCell ref="H52:H56"/>
    <mergeCell ref="B65:C65"/>
    <mergeCell ref="B63:C63"/>
    <mergeCell ref="A1:I7"/>
    <mergeCell ref="H58:H61"/>
    <mergeCell ref="I58:I61"/>
    <mergeCell ref="B62:C62"/>
    <mergeCell ref="D62:G62"/>
    <mergeCell ref="D58:G61"/>
    <mergeCell ref="A25:A28"/>
    <mergeCell ref="B25:B26"/>
    <mergeCell ref="E25:E26"/>
    <mergeCell ref="F25:F50"/>
    <mergeCell ref="H25:H28"/>
    <mergeCell ref="B27:B28"/>
    <mergeCell ref="E27:E28"/>
  </mergeCells>
  <printOptions horizontalCentered="1"/>
  <pageMargins left="0" right="0" top="0" bottom="0" header="0" footer="0"/>
  <pageSetup paperSize="9" scale="24" orientation="portrait" r:id="rId1"/>
  <headerFooter alignWithMargins="0">
    <oddFooter>&amp;R&amp;26Стр. &amp;P из  &amp;N
&amp;A</oddFooter>
  </headerFooter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7">
    <pageSetUpPr fitToPage="1"/>
  </sheetPr>
  <dimension ref="A1:FM66"/>
  <sheetViews>
    <sheetView zoomScale="50" zoomScaleNormal="50" zoomScaleSheetLayoutView="40" workbookViewId="0">
      <selection sqref="A1:C2"/>
    </sheetView>
  </sheetViews>
  <sheetFormatPr defaultRowHeight="12.75" x14ac:dyDescent="0.2"/>
  <cols>
    <col min="1" max="1" width="29.28515625" style="497" customWidth="1"/>
    <col min="2" max="2" width="25.85546875" style="497" customWidth="1"/>
    <col min="3" max="3" width="26.28515625" style="497" customWidth="1"/>
    <col min="4" max="4" width="24" style="497" customWidth="1"/>
    <col min="5" max="5" width="17.85546875" style="497" customWidth="1"/>
    <col min="6" max="6" width="18.140625" style="497" customWidth="1"/>
    <col min="7" max="7" width="49.28515625" style="498" customWidth="1"/>
    <col min="8" max="8" width="25" style="497" customWidth="1"/>
    <col min="9" max="16" width="9.140625" style="497" customWidth="1"/>
    <col min="17" max="17" width="5.7109375" style="497" customWidth="1"/>
    <col min="18" max="18" width="14.85546875" style="497" customWidth="1"/>
    <col min="19" max="20" width="9.140625" style="497"/>
    <col min="21" max="21" width="17.140625" style="497" customWidth="1"/>
    <col min="22" max="22" width="9.140625" style="497" customWidth="1"/>
    <col min="23" max="169" width="9.140625" style="2108"/>
    <col min="170" max="16384" width="9.140625" style="497"/>
  </cols>
  <sheetData>
    <row r="1" spans="1:21" x14ac:dyDescent="0.2">
      <c r="A1" s="3851"/>
      <c r="B1" s="3851"/>
      <c r="C1" s="3851"/>
      <c r="D1" s="3851"/>
      <c r="E1" s="3851"/>
      <c r="F1" s="3851"/>
      <c r="G1" s="3851"/>
      <c r="H1" s="3851"/>
      <c r="I1" s="3851"/>
      <c r="J1" s="3851"/>
      <c r="K1" s="3851"/>
      <c r="L1" s="3851"/>
      <c r="M1" s="3851"/>
      <c r="N1" s="3851"/>
      <c r="O1" s="3851"/>
      <c r="P1" s="3851"/>
      <c r="Q1" s="3851"/>
      <c r="R1" s="3851"/>
      <c r="S1" s="3851"/>
      <c r="T1" s="3851"/>
      <c r="U1" s="3851"/>
    </row>
    <row r="2" spans="1:21" x14ac:dyDescent="0.2">
      <c r="A2" s="3851"/>
      <c r="B2" s="3851"/>
      <c r="C2" s="3851"/>
      <c r="D2" s="3851"/>
      <c r="E2" s="3851"/>
      <c r="F2" s="3851"/>
      <c r="G2" s="3851"/>
      <c r="H2" s="3851"/>
      <c r="I2" s="3851"/>
      <c r="J2" s="3851"/>
      <c r="K2" s="3851"/>
      <c r="L2" s="3851"/>
      <c r="M2" s="3851"/>
      <c r="N2" s="3851"/>
      <c r="O2" s="3851"/>
      <c r="P2" s="3851"/>
      <c r="Q2" s="3851"/>
      <c r="R2" s="3851"/>
      <c r="S2" s="3851"/>
      <c r="T2" s="3851"/>
      <c r="U2" s="3851"/>
    </row>
    <row r="3" spans="1:21" x14ac:dyDescent="0.2">
      <c r="A3" s="3851"/>
      <c r="B3" s="3851"/>
      <c r="C3" s="3851"/>
      <c r="D3" s="3851"/>
      <c r="E3" s="3851"/>
      <c r="F3" s="3851"/>
      <c r="G3" s="3851"/>
      <c r="H3" s="3851"/>
      <c r="I3" s="3851"/>
      <c r="J3" s="3851"/>
      <c r="K3" s="3851"/>
      <c r="L3" s="3851"/>
      <c r="M3" s="3851"/>
      <c r="N3" s="3851"/>
      <c r="O3" s="3851"/>
      <c r="P3" s="3851"/>
      <c r="Q3" s="3851"/>
      <c r="R3" s="3851"/>
      <c r="S3" s="3851"/>
      <c r="T3" s="3851"/>
      <c r="U3" s="3851"/>
    </row>
    <row r="4" spans="1:21" x14ac:dyDescent="0.2">
      <c r="A4" s="3851"/>
      <c r="B4" s="3851"/>
      <c r="C4" s="3851"/>
      <c r="D4" s="3851"/>
      <c r="E4" s="3851"/>
      <c r="F4" s="3851"/>
      <c r="G4" s="3851"/>
      <c r="H4" s="3851"/>
      <c r="I4" s="3851"/>
      <c r="J4" s="3851"/>
      <c r="K4" s="3851"/>
      <c r="L4" s="3851"/>
      <c r="M4" s="3851"/>
      <c r="N4" s="3851"/>
      <c r="O4" s="3851"/>
      <c r="P4" s="3851"/>
      <c r="Q4" s="3851"/>
      <c r="R4" s="3851"/>
      <c r="S4" s="3851"/>
      <c r="T4" s="3851"/>
      <c r="U4" s="3851"/>
    </row>
    <row r="5" spans="1:21" x14ac:dyDescent="0.2">
      <c r="A5" s="3851"/>
      <c r="B5" s="3851"/>
      <c r="C5" s="3851"/>
      <c r="D5" s="3851"/>
      <c r="E5" s="3851"/>
      <c r="F5" s="3851"/>
      <c r="G5" s="3851"/>
      <c r="H5" s="3851"/>
      <c r="I5" s="3851"/>
      <c r="J5" s="3851"/>
      <c r="K5" s="3851"/>
      <c r="L5" s="3851"/>
      <c r="M5" s="3851"/>
      <c r="N5" s="3851"/>
      <c r="O5" s="3851"/>
      <c r="P5" s="3851"/>
      <c r="Q5" s="3851"/>
      <c r="R5" s="3851"/>
      <c r="S5" s="3851"/>
      <c r="T5" s="3851"/>
      <c r="U5" s="3851"/>
    </row>
    <row r="6" spans="1:21" x14ac:dyDescent="0.2">
      <c r="A6" s="3851"/>
      <c r="B6" s="3851"/>
      <c r="C6" s="3851"/>
      <c r="D6" s="3851"/>
      <c r="E6" s="3851"/>
      <c r="F6" s="3851"/>
      <c r="G6" s="3851"/>
      <c r="H6" s="3851"/>
      <c r="I6" s="3851"/>
      <c r="J6" s="3851"/>
      <c r="K6" s="3851"/>
      <c r="L6" s="3851"/>
      <c r="M6" s="3851"/>
      <c r="N6" s="3851"/>
      <c r="O6" s="3851"/>
      <c r="P6" s="3851"/>
      <c r="Q6" s="3851"/>
      <c r="R6" s="3851"/>
      <c r="S6" s="3851"/>
      <c r="T6" s="3851"/>
      <c r="U6" s="3851"/>
    </row>
    <row r="7" spans="1:21" x14ac:dyDescent="0.2">
      <c r="A7" s="3851"/>
      <c r="B7" s="3851"/>
      <c r="C7" s="3851"/>
      <c r="D7" s="3851"/>
      <c r="E7" s="3851"/>
      <c r="F7" s="3851"/>
      <c r="G7" s="3851"/>
      <c r="H7" s="3851"/>
      <c r="I7" s="3851"/>
      <c r="J7" s="3851"/>
      <c r="K7" s="3851"/>
      <c r="L7" s="3851"/>
      <c r="M7" s="3851"/>
      <c r="N7" s="3851"/>
      <c r="O7" s="3851"/>
      <c r="P7" s="3851"/>
      <c r="Q7" s="3851"/>
      <c r="R7" s="3851"/>
      <c r="S7" s="3851"/>
      <c r="T7" s="3851"/>
      <c r="U7" s="3851"/>
    </row>
    <row r="8" spans="1:21" x14ac:dyDescent="0.2">
      <c r="A8" s="3851"/>
      <c r="B8" s="3851"/>
      <c r="C8" s="3851"/>
      <c r="D8" s="3851"/>
      <c r="E8" s="3851"/>
      <c r="F8" s="3851"/>
      <c r="G8" s="3851"/>
      <c r="H8" s="3851"/>
      <c r="I8" s="3851"/>
      <c r="J8" s="3851"/>
      <c r="K8" s="3851"/>
      <c r="L8" s="3851"/>
      <c r="M8" s="3851"/>
      <c r="N8" s="3851"/>
      <c r="O8" s="3851"/>
      <c r="P8" s="3851"/>
      <c r="Q8" s="3851"/>
      <c r="R8" s="3851"/>
      <c r="S8" s="3851"/>
      <c r="T8" s="3851"/>
      <c r="U8" s="3851"/>
    </row>
    <row r="9" spans="1:21" ht="11.25" customHeight="1" thickBot="1" x14ac:dyDescent="0.25">
      <c r="A9" s="3852"/>
      <c r="B9" s="3852"/>
      <c r="C9" s="3852"/>
      <c r="D9" s="3852"/>
      <c r="E9" s="3852"/>
      <c r="F9" s="3852"/>
      <c r="G9" s="3852"/>
      <c r="H9" s="3852"/>
      <c r="I9" s="3852"/>
      <c r="J9" s="3852"/>
      <c r="K9" s="3852"/>
      <c r="L9" s="3852"/>
      <c r="M9" s="3852"/>
      <c r="N9" s="3852"/>
      <c r="O9" s="3852"/>
      <c r="P9" s="3852"/>
      <c r="Q9" s="3852"/>
      <c r="R9" s="3852"/>
      <c r="S9" s="3852"/>
      <c r="T9" s="3852"/>
      <c r="U9" s="3852"/>
    </row>
    <row r="10" spans="1:21" ht="30" customHeight="1" x14ac:dyDescent="0.2">
      <c r="A10" s="4033" t="s">
        <v>1058</v>
      </c>
      <c r="B10" s="4033"/>
      <c r="C10" s="4033"/>
      <c r="D10" s="4033"/>
      <c r="E10" s="4033"/>
      <c r="F10" s="4033"/>
      <c r="G10" s="4033"/>
      <c r="H10" s="4033"/>
      <c r="I10" s="4033"/>
      <c r="J10" s="4033"/>
      <c r="K10" s="4033"/>
      <c r="L10" s="4033"/>
      <c r="M10" s="4033"/>
      <c r="N10" s="4033"/>
      <c r="O10" s="4033"/>
      <c r="P10" s="4033"/>
      <c r="Q10" s="622"/>
      <c r="R10" s="622"/>
    </row>
    <row r="11" spans="1:21" ht="25.5" x14ac:dyDescent="0.35">
      <c r="A11" s="623"/>
      <c r="B11" s="623"/>
      <c r="C11" s="623"/>
      <c r="D11" s="390"/>
      <c r="E11" s="624"/>
      <c r="F11" s="384"/>
      <c r="G11" s="625"/>
      <c r="H11" s="4034" t="s">
        <v>1</v>
      </c>
      <c r="I11" s="4034"/>
      <c r="J11" s="4034"/>
      <c r="K11" s="4034"/>
      <c r="L11" s="4035">
        <v>42485</v>
      </c>
      <c r="M11" s="4035"/>
      <c r="N11" s="4035"/>
      <c r="O11" s="4035"/>
      <c r="P11" s="4035"/>
      <c r="Q11" s="390"/>
      <c r="R11" s="390"/>
    </row>
    <row r="12" spans="1:21" ht="118.5" customHeight="1" x14ac:dyDescent="0.3">
      <c r="A12" s="4036" t="s">
        <v>955</v>
      </c>
      <c r="B12" s="4036" t="s">
        <v>399</v>
      </c>
      <c r="C12" s="4036" t="s">
        <v>1059</v>
      </c>
      <c r="D12" s="3985" t="s">
        <v>1060</v>
      </c>
      <c r="E12" s="3985"/>
      <c r="F12" s="3985"/>
      <c r="G12" s="3985"/>
      <c r="H12" s="3985"/>
      <c r="I12" s="3985" t="s">
        <v>1061</v>
      </c>
      <c r="J12" s="3985"/>
      <c r="K12" s="3985"/>
      <c r="L12" s="3985"/>
      <c r="M12" s="3985"/>
      <c r="N12" s="3985"/>
      <c r="O12" s="3985"/>
      <c r="P12" s="3985"/>
      <c r="Q12" s="390"/>
    </row>
    <row r="13" spans="1:21" ht="23.25" x14ac:dyDescent="0.3">
      <c r="A13" s="3985"/>
      <c r="B13" s="3985"/>
      <c r="C13" s="3985"/>
      <c r="D13" s="3985"/>
      <c r="E13" s="3985"/>
      <c r="F13" s="3985"/>
      <c r="G13" s="3985"/>
      <c r="H13" s="3985"/>
      <c r="I13" s="3985" t="s">
        <v>1062</v>
      </c>
      <c r="J13" s="3985"/>
      <c r="K13" s="3985"/>
      <c r="L13" s="3985"/>
      <c r="M13" s="3985"/>
      <c r="N13" s="3985"/>
      <c r="O13" s="3985"/>
      <c r="P13" s="3985"/>
      <c r="Q13" s="390"/>
    </row>
    <row r="14" spans="1:21" ht="23.25" x14ac:dyDescent="0.3">
      <c r="A14" s="3951"/>
      <c r="B14" s="3952" t="s">
        <v>1063</v>
      </c>
      <c r="C14" s="4023">
        <v>2</v>
      </c>
      <c r="D14" s="4024" t="s">
        <v>1064</v>
      </c>
      <c r="E14" s="4024"/>
      <c r="F14" s="4024"/>
      <c r="G14" s="4024"/>
      <c r="H14" s="4024"/>
      <c r="I14" s="4025" t="s">
        <v>1065</v>
      </c>
      <c r="J14" s="4026"/>
      <c r="K14" s="4026"/>
      <c r="L14" s="4026"/>
      <c r="M14" s="4026" t="s">
        <v>1066</v>
      </c>
      <c r="N14" s="4026"/>
      <c r="O14" s="4026"/>
      <c r="P14" s="4027"/>
      <c r="Q14" s="390"/>
    </row>
    <row r="15" spans="1:21" ht="23.25" x14ac:dyDescent="0.3">
      <c r="A15" s="3951"/>
      <c r="B15" s="3952"/>
      <c r="C15" s="4023"/>
      <c r="D15" s="4024"/>
      <c r="E15" s="4024"/>
      <c r="F15" s="4024"/>
      <c r="G15" s="4024"/>
      <c r="H15" s="4024"/>
      <c r="I15" s="4028" t="s">
        <v>1067</v>
      </c>
      <c r="J15" s="4029"/>
      <c r="K15" s="4029"/>
      <c r="L15" s="4029"/>
      <c r="M15" s="4029"/>
      <c r="N15" s="4029"/>
      <c r="O15" s="4029"/>
      <c r="P15" s="4030"/>
      <c r="Q15" s="390"/>
    </row>
    <row r="16" spans="1:21" ht="23.25" x14ac:dyDescent="0.3">
      <c r="A16" s="3951"/>
      <c r="B16" s="3952"/>
      <c r="C16" s="4023"/>
      <c r="D16" s="4024"/>
      <c r="E16" s="4024"/>
      <c r="F16" s="4024"/>
      <c r="G16" s="4024"/>
      <c r="H16" s="4024"/>
      <c r="I16" s="4031">
        <v>2500</v>
      </c>
      <c r="J16" s="4032"/>
      <c r="K16" s="4018">
        <v>3000</v>
      </c>
      <c r="L16" s="4032"/>
      <c r="M16" s="4018">
        <v>2500</v>
      </c>
      <c r="N16" s="4032"/>
      <c r="O16" s="4018">
        <v>3000</v>
      </c>
      <c r="P16" s="4019"/>
      <c r="Q16" s="390"/>
    </row>
    <row r="17" spans="1:17" ht="42.75" customHeight="1" x14ac:dyDescent="0.3">
      <c r="A17" s="3951"/>
      <c r="B17" s="3952"/>
      <c r="C17" s="4023"/>
      <c r="D17" s="4024"/>
      <c r="E17" s="4024"/>
      <c r="F17" s="4024"/>
      <c r="G17" s="4024"/>
      <c r="H17" s="4024"/>
      <c r="I17" s="4014">
        <f>(I31*2+I37+I45*2)/2.5</f>
        <v>530.4</v>
      </c>
      <c r="J17" s="4015"/>
      <c r="K17" s="4016">
        <f>(I31*2+I39+I45*2)/2.5</f>
        <v>584</v>
      </c>
      <c r="L17" s="4020"/>
      <c r="M17" s="4016">
        <f>(I33*2+I38+I46*2)/2.5</f>
        <v>798</v>
      </c>
      <c r="N17" s="4015"/>
      <c r="O17" s="4016">
        <f>(I33*2+I40+I46*2)/2.5</f>
        <v>876</v>
      </c>
      <c r="P17" s="4017"/>
      <c r="Q17" s="390"/>
    </row>
    <row r="18" spans="1:17" ht="20.25" customHeight="1" x14ac:dyDescent="0.3">
      <c r="A18" s="4021"/>
      <c r="B18" s="4021"/>
      <c r="C18" s="4021"/>
      <c r="D18" s="4021"/>
      <c r="E18" s="4021"/>
      <c r="F18" s="4021"/>
      <c r="G18" s="4021"/>
      <c r="H18" s="4022"/>
      <c r="I18" s="3992" t="s">
        <v>1067</v>
      </c>
      <c r="J18" s="3992"/>
      <c r="K18" s="3992"/>
      <c r="L18" s="3992"/>
      <c r="M18" s="3992"/>
      <c r="N18" s="3992"/>
      <c r="O18" s="3992"/>
      <c r="P18" s="3993"/>
      <c r="Q18" s="390"/>
    </row>
    <row r="19" spans="1:17" ht="23.25" x14ac:dyDescent="0.3">
      <c r="A19" s="3990"/>
      <c r="B19" s="3990"/>
      <c r="C19" s="3990"/>
      <c r="D19" s="3990"/>
      <c r="E19" s="3990"/>
      <c r="F19" s="3990"/>
      <c r="G19" s="3990"/>
      <c r="H19" s="3991"/>
      <c r="I19" s="3994">
        <v>2500</v>
      </c>
      <c r="J19" s="3994"/>
      <c r="K19" s="3994"/>
      <c r="L19" s="3995"/>
      <c r="M19" s="3996">
        <v>3000</v>
      </c>
      <c r="N19" s="3994"/>
      <c r="O19" s="3994"/>
      <c r="P19" s="3997"/>
      <c r="Q19" s="390"/>
    </row>
    <row r="20" spans="1:17" ht="48" customHeight="1" x14ac:dyDescent="0.3">
      <c r="A20" s="3947"/>
      <c r="B20" s="4011" t="s">
        <v>1068</v>
      </c>
      <c r="C20" s="626">
        <v>1.65</v>
      </c>
      <c r="D20" s="3999" t="s">
        <v>2200</v>
      </c>
      <c r="E20" s="4000"/>
      <c r="F20" s="4000"/>
      <c r="G20" s="4000"/>
      <c r="H20" s="4001"/>
      <c r="I20" s="4005">
        <f>(I29*3+I38+I41*2+I47*2)/2.5</f>
        <v>1586</v>
      </c>
      <c r="J20" s="4006"/>
      <c r="K20" s="4006"/>
      <c r="L20" s="4006"/>
      <c r="M20" s="4012">
        <f>(I29*3+I40+I41*2+I47*2)/2.5</f>
        <v>1664</v>
      </c>
      <c r="N20" s="4006"/>
      <c r="O20" s="4006"/>
      <c r="P20" s="4013"/>
      <c r="Q20" s="390"/>
    </row>
    <row r="21" spans="1:17" ht="46.5" customHeight="1" x14ac:dyDescent="0.3">
      <c r="A21" s="3951"/>
      <c r="B21" s="3952"/>
      <c r="C21" s="627">
        <v>2</v>
      </c>
      <c r="D21" s="4002"/>
      <c r="E21" s="4003"/>
      <c r="F21" s="4003"/>
      <c r="G21" s="4003"/>
      <c r="H21" s="4004"/>
      <c r="I21" s="4014">
        <f>(I30*3+I38+I41*2+I47*2)/2.5</f>
        <v>1760</v>
      </c>
      <c r="J21" s="4015"/>
      <c r="K21" s="4015"/>
      <c r="L21" s="4015"/>
      <c r="M21" s="4016">
        <f>(I30*3+I40+I41*2+I47*2)/2.5</f>
        <v>1838</v>
      </c>
      <c r="N21" s="4015"/>
      <c r="O21" s="4015"/>
      <c r="P21" s="4017"/>
      <c r="Q21" s="390"/>
    </row>
    <row r="22" spans="1:17" ht="23.25" x14ac:dyDescent="0.3">
      <c r="A22" s="3986"/>
      <c r="B22" s="3987"/>
      <c r="C22" s="3987"/>
      <c r="D22" s="3987"/>
      <c r="E22" s="3987"/>
      <c r="F22" s="3987"/>
      <c r="G22" s="3987"/>
      <c r="H22" s="3988"/>
      <c r="I22" s="3992" t="s">
        <v>1069</v>
      </c>
      <c r="J22" s="3992"/>
      <c r="K22" s="3992"/>
      <c r="L22" s="3992"/>
      <c r="M22" s="3992"/>
      <c r="N22" s="3992"/>
      <c r="O22" s="3992"/>
      <c r="P22" s="3993"/>
      <c r="Q22" s="390"/>
    </row>
    <row r="23" spans="1:17" ht="23.25" x14ac:dyDescent="0.3">
      <c r="A23" s="3989"/>
      <c r="B23" s="3990"/>
      <c r="C23" s="3990"/>
      <c r="D23" s="3990"/>
      <c r="E23" s="3990"/>
      <c r="F23" s="3990"/>
      <c r="G23" s="3990"/>
      <c r="H23" s="3991"/>
      <c r="I23" s="3994">
        <v>2500</v>
      </c>
      <c r="J23" s="3994"/>
      <c r="K23" s="3994"/>
      <c r="L23" s="3995"/>
      <c r="M23" s="3996">
        <v>3000</v>
      </c>
      <c r="N23" s="3994"/>
      <c r="O23" s="3994"/>
      <c r="P23" s="3997"/>
      <c r="Q23" s="390"/>
    </row>
    <row r="24" spans="1:17" ht="48" customHeight="1" x14ac:dyDescent="0.3">
      <c r="A24" s="3998"/>
      <c r="B24" s="3952" t="s">
        <v>1070</v>
      </c>
      <c r="C24" s="628">
        <v>1.65</v>
      </c>
      <c r="D24" s="3999" t="s">
        <v>1071</v>
      </c>
      <c r="E24" s="4000"/>
      <c r="F24" s="4000"/>
      <c r="G24" s="4000"/>
      <c r="H24" s="4001"/>
      <c r="I24" s="4005">
        <f>(I29*3+I41*2+I43*2+I48)/2.5</f>
        <v>1532.4</v>
      </c>
      <c r="J24" s="4006"/>
      <c r="K24" s="4006"/>
      <c r="L24" s="4006"/>
      <c r="M24" s="4007">
        <f>(I29*3+I41*2+I44*2+I48)/2.5</f>
        <v>1611.6</v>
      </c>
      <c r="N24" s="4008"/>
      <c r="O24" s="4008"/>
      <c r="P24" s="4009"/>
      <c r="Q24" s="390"/>
    </row>
    <row r="25" spans="1:17" ht="48" customHeight="1" x14ac:dyDescent="0.3">
      <c r="A25" s="3998"/>
      <c r="B25" s="3952"/>
      <c r="C25" s="627">
        <v>2</v>
      </c>
      <c r="D25" s="4002"/>
      <c r="E25" s="4003"/>
      <c r="F25" s="4003"/>
      <c r="G25" s="4003"/>
      <c r="H25" s="4004"/>
      <c r="I25" s="4010">
        <f>(I30*3+I41*2+I43*2+I48)/2.5</f>
        <v>1706.4</v>
      </c>
      <c r="J25" s="3975"/>
      <c r="K25" s="3975"/>
      <c r="L25" s="3975"/>
      <c r="M25" s="3974">
        <f>(I30*3+I41*2+I44*2+I48)/2.5</f>
        <v>1785.6</v>
      </c>
      <c r="N25" s="3975"/>
      <c r="O25" s="3975"/>
      <c r="P25" s="3976"/>
      <c r="Q25" s="390"/>
    </row>
    <row r="26" spans="1:17" ht="120" customHeight="1" x14ac:dyDescent="0.3">
      <c r="A26" s="629"/>
      <c r="B26" s="630" t="s">
        <v>1072</v>
      </c>
      <c r="C26" s="631">
        <v>2</v>
      </c>
      <c r="D26" s="3977" t="s">
        <v>1073</v>
      </c>
      <c r="E26" s="3978"/>
      <c r="F26" s="3978"/>
      <c r="G26" s="3978"/>
      <c r="H26" s="3979"/>
      <c r="I26" s="3980">
        <f>(I29*3+I41*3+I42+I43*2+I48)/2.5</f>
        <v>2123.6</v>
      </c>
      <c r="J26" s="3981"/>
      <c r="K26" s="3981"/>
      <c r="L26" s="3981"/>
      <c r="M26" s="3982">
        <f>(I29*3+I41*3+I42+I44*2+I48)/2.5</f>
        <v>2202.8000000000002</v>
      </c>
      <c r="N26" s="3981"/>
      <c r="O26" s="3981"/>
      <c r="P26" s="3983"/>
      <c r="Q26" s="390"/>
    </row>
    <row r="27" spans="1:17" ht="23.25" x14ac:dyDescent="0.3">
      <c r="A27" s="3984" t="s">
        <v>1074</v>
      </c>
      <c r="B27" s="3984"/>
      <c r="C27" s="3984"/>
      <c r="D27" s="3984"/>
      <c r="E27" s="3984"/>
      <c r="F27" s="3984"/>
      <c r="G27" s="3984"/>
      <c r="H27" s="3984"/>
      <c r="I27" s="3984"/>
      <c r="J27" s="3984"/>
      <c r="K27" s="3984"/>
      <c r="L27" s="3984"/>
      <c r="M27" s="3984"/>
      <c r="N27" s="3984"/>
      <c r="O27" s="3984"/>
      <c r="P27" s="3984"/>
      <c r="Q27" s="390"/>
    </row>
    <row r="28" spans="1:17" ht="52.5" customHeight="1" x14ac:dyDescent="0.3">
      <c r="A28" s="632" t="s">
        <v>955</v>
      </c>
      <c r="B28" s="3985" t="s">
        <v>399</v>
      </c>
      <c r="C28" s="3985"/>
      <c r="D28" s="632" t="s">
        <v>1075</v>
      </c>
      <c r="E28" s="632" t="s">
        <v>1076</v>
      </c>
      <c r="F28" s="632" t="s">
        <v>964</v>
      </c>
      <c r="G28" s="632" t="s">
        <v>957</v>
      </c>
      <c r="H28" s="632" t="s">
        <v>1077</v>
      </c>
      <c r="I28" s="3985" t="s">
        <v>1078</v>
      </c>
      <c r="J28" s="3985"/>
      <c r="K28" s="3985"/>
      <c r="L28" s="3985"/>
      <c r="M28" s="3985"/>
      <c r="N28" s="3985"/>
      <c r="O28" s="3985"/>
      <c r="P28" s="3985"/>
      <c r="Q28" s="390"/>
    </row>
    <row r="29" spans="1:17" ht="23.25" x14ac:dyDescent="0.3">
      <c r="A29" s="3938"/>
      <c r="B29" s="3952" t="s">
        <v>1079</v>
      </c>
      <c r="C29" s="3952"/>
      <c r="D29" s="633" t="s">
        <v>1080</v>
      </c>
      <c r="E29" s="633">
        <v>100</v>
      </c>
      <c r="F29" s="634">
        <v>5.9</v>
      </c>
      <c r="G29" s="3969" t="s">
        <v>1081</v>
      </c>
      <c r="H29" s="3971">
        <v>0.5</v>
      </c>
      <c r="I29" s="3973">
        <f>ROUND(622*(1-$B$65),2)</f>
        <v>622</v>
      </c>
      <c r="J29" s="3973"/>
      <c r="K29" s="3973"/>
      <c r="L29" s="3973"/>
      <c r="M29" s="3973"/>
      <c r="N29" s="3973"/>
      <c r="O29" s="3973"/>
      <c r="P29" s="3973"/>
      <c r="Q29" s="390"/>
    </row>
    <row r="30" spans="1:17" ht="63" customHeight="1" x14ac:dyDescent="0.3">
      <c r="A30" s="3938"/>
      <c r="B30" s="3952"/>
      <c r="C30" s="3952"/>
      <c r="D30" s="635" t="s">
        <v>1082</v>
      </c>
      <c r="E30" s="635">
        <v>100</v>
      </c>
      <c r="F30" s="636">
        <v>7.3</v>
      </c>
      <c r="G30" s="3970"/>
      <c r="H30" s="3972"/>
      <c r="I30" s="3958">
        <f>ROUND(767*(1-$B$65),2)</f>
        <v>767</v>
      </c>
      <c r="J30" s="3958"/>
      <c r="K30" s="3958"/>
      <c r="L30" s="3958"/>
      <c r="M30" s="3958"/>
      <c r="N30" s="3958"/>
      <c r="O30" s="3958"/>
      <c r="P30" s="3958"/>
      <c r="Q30" s="390"/>
    </row>
    <row r="31" spans="1:17" ht="23.25" x14ac:dyDescent="0.3">
      <c r="A31" s="3938"/>
      <c r="B31" s="3952" t="s">
        <v>1083</v>
      </c>
      <c r="C31" s="3952"/>
      <c r="D31" s="633" t="s">
        <v>1084</v>
      </c>
      <c r="E31" s="633">
        <v>180</v>
      </c>
      <c r="F31" s="634">
        <v>3</v>
      </c>
      <c r="G31" s="3956" t="s">
        <v>1085</v>
      </c>
      <c r="H31" s="3945">
        <v>1</v>
      </c>
      <c r="I31" s="3957">
        <f>ROUND(281*(1-$B$65),2)</f>
        <v>281</v>
      </c>
      <c r="J31" s="3957"/>
      <c r="K31" s="3957"/>
      <c r="L31" s="3957"/>
      <c r="M31" s="3957"/>
      <c r="N31" s="3957"/>
      <c r="O31" s="3957"/>
      <c r="P31" s="3957"/>
      <c r="Q31" s="390"/>
    </row>
    <row r="32" spans="1:17" ht="23.25" x14ac:dyDescent="0.3">
      <c r="A32" s="3938"/>
      <c r="B32" s="3952"/>
      <c r="C32" s="3952"/>
      <c r="D32" s="635" t="s">
        <v>1086</v>
      </c>
      <c r="E32" s="635">
        <v>180</v>
      </c>
      <c r="F32" s="636">
        <v>3.6</v>
      </c>
      <c r="G32" s="3956"/>
      <c r="H32" s="3945"/>
      <c r="I32" s="3958">
        <f>ROUND(337*(1-$B$65),2)</f>
        <v>337</v>
      </c>
      <c r="J32" s="3958"/>
      <c r="K32" s="3958"/>
      <c r="L32" s="3958"/>
      <c r="M32" s="3958"/>
      <c r="N32" s="3958"/>
      <c r="O32" s="3958"/>
      <c r="P32" s="3958"/>
      <c r="Q32" s="390"/>
    </row>
    <row r="33" spans="1:17" ht="23.25" x14ac:dyDescent="0.3">
      <c r="A33" s="3938"/>
      <c r="B33" s="3952"/>
      <c r="C33" s="3952"/>
      <c r="D33" s="637" t="s">
        <v>1084</v>
      </c>
      <c r="E33" s="637">
        <v>180</v>
      </c>
      <c r="F33" s="638">
        <v>3</v>
      </c>
      <c r="G33" s="3969" t="s">
        <v>1081</v>
      </c>
      <c r="H33" s="3945"/>
      <c r="I33" s="3957">
        <f>ROUND(418*(1-$B$65),2)</f>
        <v>418</v>
      </c>
      <c r="J33" s="3957"/>
      <c r="K33" s="3957"/>
      <c r="L33" s="3957"/>
      <c r="M33" s="3957"/>
      <c r="N33" s="3957"/>
      <c r="O33" s="3957"/>
      <c r="P33" s="3957"/>
      <c r="Q33" s="390"/>
    </row>
    <row r="34" spans="1:17" ht="45.75" customHeight="1" x14ac:dyDescent="0.3">
      <c r="A34" s="3938"/>
      <c r="B34" s="3952"/>
      <c r="C34" s="3952"/>
      <c r="D34" s="635" t="s">
        <v>1086</v>
      </c>
      <c r="E34" s="635">
        <v>180</v>
      </c>
      <c r="F34" s="636">
        <v>3.6</v>
      </c>
      <c r="G34" s="3970"/>
      <c r="H34" s="3945"/>
      <c r="I34" s="3958">
        <f>ROUND(487*(1-$B$65),2)</f>
        <v>487</v>
      </c>
      <c r="J34" s="3958"/>
      <c r="K34" s="3958"/>
      <c r="L34" s="3958"/>
      <c r="M34" s="3958"/>
      <c r="N34" s="3958"/>
      <c r="O34" s="3958"/>
      <c r="P34" s="3958"/>
      <c r="Q34" s="390"/>
    </row>
    <row r="35" spans="1:17" ht="23.25" x14ac:dyDescent="0.3">
      <c r="A35" s="3938"/>
      <c r="B35" s="3952" t="s">
        <v>1087</v>
      </c>
      <c r="C35" s="3952"/>
      <c r="D35" s="3966" t="s">
        <v>1088</v>
      </c>
      <c r="E35" s="3966">
        <v>96</v>
      </c>
      <c r="F35" s="3941">
        <v>5.28</v>
      </c>
      <c r="G35" s="634" t="s">
        <v>970</v>
      </c>
      <c r="H35" s="3943">
        <v>1.4</v>
      </c>
      <c r="I35" s="3959">
        <f>ROUND(563*(1-$B$65),2)</f>
        <v>563</v>
      </c>
      <c r="J35" s="3960"/>
      <c r="K35" s="3960"/>
      <c r="L35" s="3960"/>
      <c r="M35" s="3960"/>
      <c r="N35" s="3960"/>
      <c r="O35" s="3960"/>
      <c r="P35" s="3961"/>
      <c r="Q35" s="390"/>
    </row>
    <row r="36" spans="1:17" ht="23.25" x14ac:dyDescent="0.3">
      <c r="A36" s="3938"/>
      <c r="B36" s="3952"/>
      <c r="C36" s="3952"/>
      <c r="D36" s="3967"/>
      <c r="E36" s="3967"/>
      <c r="F36" s="3942"/>
      <c r="G36" s="636" t="s">
        <v>1022</v>
      </c>
      <c r="H36" s="3968"/>
      <c r="I36" s="3962">
        <f>ROUND(804*(1-$B$65),2)</f>
        <v>804</v>
      </c>
      <c r="J36" s="3963"/>
      <c r="K36" s="3963"/>
      <c r="L36" s="3963"/>
      <c r="M36" s="3963"/>
      <c r="N36" s="3963"/>
      <c r="O36" s="3963"/>
      <c r="P36" s="3964"/>
      <c r="Q36" s="390"/>
    </row>
    <row r="37" spans="1:17" ht="35.25" customHeight="1" x14ac:dyDescent="0.3">
      <c r="A37" s="3938"/>
      <c r="B37" s="3952"/>
      <c r="C37" s="3952"/>
      <c r="D37" s="3966" t="s">
        <v>1089</v>
      </c>
      <c r="E37" s="3966">
        <v>96</v>
      </c>
      <c r="F37" s="3941">
        <v>6.6</v>
      </c>
      <c r="G37" s="634" t="s">
        <v>970</v>
      </c>
      <c r="H37" s="3968"/>
      <c r="I37" s="3959">
        <f>ROUND(670*(1-$B$65),2)</f>
        <v>670</v>
      </c>
      <c r="J37" s="3960"/>
      <c r="K37" s="3960"/>
      <c r="L37" s="3960"/>
      <c r="M37" s="3960"/>
      <c r="N37" s="3960"/>
      <c r="O37" s="3960"/>
      <c r="P37" s="3961"/>
      <c r="Q37" s="390"/>
    </row>
    <row r="38" spans="1:17" ht="69.75" x14ac:dyDescent="0.3">
      <c r="A38" s="3938"/>
      <c r="B38" s="3952"/>
      <c r="C38" s="3952"/>
      <c r="D38" s="3967"/>
      <c r="E38" s="3967"/>
      <c r="F38" s="3942"/>
      <c r="G38" s="636" t="s">
        <v>1081</v>
      </c>
      <c r="H38" s="3968"/>
      <c r="I38" s="3962">
        <f>ROUND(971*(1-$B$65),2)</f>
        <v>971</v>
      </c>
      <c r="J38" s="3963"/>
      <c r="K38" s="3963"/>
      <c r="L38" s="3963"/>
      <c r="M38" s="3963"/>
      <c r="N38" s="3963"/>
      <c r="O38" s="3963"/>
      <c r="P38" s="3964"/>
      <c r="Q38" s="390"/>
    </row>
    <row r="39" spans="1:17" ht="38.25" customHeight="1" x14ac:dyDescent="0.3">
      <c r="A39" s="3938"/>
      <c r="B39" s="3952"/>
      <c r="C39" s="3952"/>
      <c r="D39" s="3966" t="s">
        <v>1090</v>
      </c>
      <c r="E39" s="3966">
        <v>96</v>
      </c>
      <c r="F39" s="3941">
        <v>7.9</v>
      </c>
      <c r="G39" s="634" t="s">
        <v>970</v>
      </c>
      <c r="H39" s="3968"/>
      <c r="I39" s="3959">
        <f>ROUND(804*(1-$B$65),2)</f>
        <v>804</v>
      </c>
      <c r="J39" s="3960"/>
      <c r="K39" s="3960"/>
      <c r="L39" s="3960"/>
      <c r="M39" s="3960"/>
      <c r="N39" s="3960"/>
      <c r="O39" s="3960"/>
      <c r="P39" s="3961"/>
      <c r="Q39" s="390"/>
    </row>
    <row r="40" spans="1:17" ht="69.75" x14ac:dyDescent="0.3">
      <c r="A40" s="3938"/>
      <c r="B40" s="3952"/>
      <c r="C40" s="3952"/>
      <c r="D40" s="3967"/>
      <c r="E40" s="3967"/>
      <c r="F40" s="3942"/>
      <c r="G40" s="639" t="s">
        <v>1081</v>
      </c>
      <c r="H40" s="3944"/>
      <c r="I40" s="3962">
        <f>ROUND(1166*(1-$B$65),2)</f>
        <v>1166</v>
      </c>
      <c r="J40" s="3963"/>
      <c r="K40" s="3963"/>
      <c r="L40" s="3963"/>
      <c r="M40" s="3963"/>
      <c r="N40" s="3963"/>
      <c r="O40" s="3963"/>
      <c r="P40" s="3964"/>
      <c r="Q40" s="390"/>
    </row>
    <row r="41" spans="1:17" ht="78.75" customHeight="1" x14ac:dyDescent="0.3">
      <c r="A41" s="631"/>
      <c r="B41" s="3952" t="s">
        <v>1091</v>
      </c>
      <c r="C41" s="3952"/>
      <c r="D41" s="640" t="s">
        <v>1092</v>
      </c>
      <c r="E41" s="640">
        <v>162</v>
      </c>
      <c r="F41" s="641">
        <v>3.3</v>
      </c>
      <c r="G41" s="641" t="s">
        <v>1093</v>
      </c>
      <c r="H41" s="642">
        <v>1</v>
      </c>
      <c r="I41" s="3965">
        <f>ROUND(470*(1-$B$65),2)</f>
        <v>470</v>
      </c>
      <c r="J41" s="3965"/>
      <c r="K41" s="3965"/>
      <c r="L41" s="3965"/>
      <c r="M41" s="3965"/>
      <c r="N41" s="3965"/>
      <c r="O41" s="3965"/>
      <c r="P41" s="3965"/>
      <c r="Q41" s="390"/>
    </row>
    <row r="42" spans="1:17" ht="62.25" customHeight="1" x14ac:dyDescent="0.3">
      <c r="A42" s="631"/>
      <c r="B42" s="3952" t="s">
        <v>1094</v>
      </c>
      <c r="C42" s="3952"/>
      <c r="D42" s="640" t="s">
        <v>1095</v>
      </c>
      <c r="E42" s="640">
        <v>100</v>
      </c>
      <c r="F42" s="641">
        <v>3.6</v>
      </c>
      <c r="G42" s="641" t="s">
        <v>1096</v>
      </c>
      <c r="H42" s="642">
        <v>0.5</v>
      </c>
      <c r="I42" s="3965">
        <f>ROUND(1008*(1-$B$65),2)</f>
        <v>1008</v>
      </c>
      <c r="J42" s="3965"/>
      <c r="K42" s="3965"/>
      <c r="L42" s="3965"/>
      <c r="M42" s="3965"/>
      <c r="N42" s="3965"/>
      <c r="O42" s="3965"/>
      <c r="P42" s="3965"/>
      <c r="Q42" s="390"/>
    </row>
    <row r="43" spans="1:17" ht="47.25" customHeight="1" x14ac:dyDescent="0.3">
      <c r="A43" s="3938"/>
      <c r="B43" s="3952" t="s">
        <v>1097</v>
      </c>
      <c r="C43" s="3952"/>
      <c r="D43" s="633" t="s">
        <v>1098</v>
      </c>
      <c r="E43" s="633">
        <v>154</v>
      </c>
      <c r="F43" s="634">
        <v>3.3</v>
      </c>
      <c r="G43" s="3956" t="s">
        <v>1099</v>
      </c>
      <c r="H43" s="3945">
        <v>1</v>
      </c>
      <c r="I43" s="3957">
        <f>ROUND(494*(1-$B$65),2)</f>
        <v>494</v>
      </c>
      <c r="J43" s="3957"/>
      <c r="K43" s="3957"/>
      <c r="L43" s="3957"/>
      <c r="M43" s="3957"/>
      <c r="N43" s="3957"/>
      <c r="O43" s="3957"/>
      <c r="P43" s="3957"/>
      <c r="Q43" s="390"/>
    </row>
    <row r="44" spans="1:17" ht="45.75" customHeight="1" x14ac:dyDescent="0.3">
      <c r="A44" s="3938"/>
      <c r="B44" s="3952"/>
      <c r="C44" s="3952"/>
      <c r="D44" s="635" t="s">
        <v>1100</v>
      </c>
      <c r="E44" s="635">
        <v>154</v>
      </c>
      <c r="F44" s="636">
        <v>3.96</v>
      </c>
      <c r="G44" s="3956"/>
      <c r="H44" s="3945"/>
      <c r="I44" s="3958">
        <f>ROUND(593*(1-$B$65),2)</f>
        <v>593</v>
      </c>
      <c r="J44" s="3958"/>
      <c r="K44" s="3958"/>
      <c r="L44" s="3958"/>
      <c r="M44" s="3958"/>
      <c r="N44" s="3958"/>
      <c r="O44" s="3958"/>
      <c r="P44" s="3958"/>
      <c r="Q44" s="390"/>
    </row>
    <row r="45" spans="1:17" ht="23.25" x14ac:dyDescent="0.3">
      <c r="A45" s="3938"/>
      <c r="B45" s="3952" t="s">
        <v>1101</v>
      </c>
      <c r="C45" s="3952"/>
      <c r="D45" s="3940" t="s">
        <v>1102</v>
      </c>
      <c r="E45" s="3940">
        <v>42</v>
      </c>
      <c r="F45" s="3941">
        <v>0.25</v>
      </c>
      <c r="G45" s="634" t="s">
        <v>970</v>
      </c>
      <c r="H45" s="3945">
        <v>1.4</v>
      </c>
      <c r="I45" s="3954">
        <f>ROUND(47*(1-$B$65),2)</f>
        <v>47</v>
      </c>
      <c r="J45" s="3954"/>
      <c r="K45" s="3954"/>
      <c r="L45" s="3954"/>
      <c r="M45" s="3954"/>
      <c r="N45" s="3954"/>
      <c r="O45" s="3954"/>
      <c r="P45" s="3954"/>
      <c r="Q45" s="390"/>
    </row>
    <row r="46" spans="1:17" ht="69.75" x14ac:dyDescent="0.3">
      <c r="A46" s="3938"/>
      <c r="B46" s="3952"/>
      <c r="C46" s="3952"/>
      <c r="D46" s="3940"/>
      <c r="E46" s="3940"/>
      <c r="F46" s="3942"/>
      <c r="G46" s="636" t="s">
        <v>1099</v>
      </c>
      <c r="H46" s="3945"/>
      <c r="I46" s="3955">
        <f>ROUND(94*(1-$B$65),2)</f>
        <v>94</v>
      </c>
      <c r="J46" s="3955"/>
      <c r="K46" s="3955"/>
      <c r="L46" s="3955"/>
      <c r="M46" s="3955"/>
      <c r="N46" s="3955"/>
      <c r="O46" s="3955"/>
      <c r="P46" s="3955"/>
      <c r="Q46" s="390"/>
    </row>
    <row r="47" spans="1:17" ht="72.75" customHeight="1" x14ac:dyDescent="0.3">
      <c r="A47" s="631"/>
      <c r="B47" s="3952" t="s">
        <v>1103</v>
      </c>
      <c r="C47" s="3952"/>
      <c r="D47" s="640" t="s">
        <v>1104</v>
      </c>
      <c r="E47" s="640">
        <v>30</v>
      </c>
      <c r="F47" s="641">
        <v>0.3</v>
      </c>
      <c r="G47" s="641" t="s">
        <v>1081</v>
      </c>
      <c r="H47" s="642">
        <v>1.4</v>
      </c>
      <c r="I47" s="3953">
        <f>ROUND(94*(1-$B$65),2)</f>
        <v>94</v>
      </c>
      <c r="J47" s="3953"/>
      <c r="K47" s="3953"/>
      <c r="L47" s="3953"/>
      <c r="M47" s="3953"/>
      <c r="N47" s="3953"/>
      <c r="O47" s="3953"/>
      <c r="P47" s="3953"/>
      <c r="Q47" s="390"/>
    </row>
    <row r="48" spans="1:17" ht="72.75" customHeight="1" x14ac:dyDescent="0.3">
      <c r="A48" s="631"/>
      <c r="B48" s="3952" t="s">
        <v>1105</v>
      </c>
      <c r="C48" s="3952"/>
      <c r="D48" s="640" t="s">
        <v>1106</v>
      </c>
      <c r="E48" s="640">
        <v>80</v>
      </c>
      <c r="F48" s="641">
        <v>0.02</v>
      </c>
      <c r="G48" s="641" t="s">
        <v>1081</v>
      </c>
      <c r="H48" s="642">
        <v>0.5</v>
      </c>
      <c r="I48" s="3953">
        <f>ROUND(37*(1-$B$65),2)</f>
        <v>37</v>
      </c>
      <c r="J48" s="3953"/>
      <c r="K48" s="3953"/>
      <c r="L48" s="3953"/>
      <c r="M48" s="3953"/>
      <c r="N48" s="3953"/>
      <c r="O48" s="3953"/>
      <c r="P48" s="3953"/>
      <c r="Q48" s="390"/>
    </row>
    <row r="49" spans="1:18" ht="45.75" customHeight="1" x14ac:dyDescent="0.3">
      <c r="A49" s="631"/>
      <c r="B49" s="3952" t="s">
        <v>1107</v>
      </c>
      <c r="C49" s="3952"/>
      <c r="D49" s="640" t="s">
        <v>1108</v>
      </c>
      <c r="E49" s="640">
        <v>200</v>
      </c>
      <c r="F49" s="641"/>
      <c r="G49" s="641" t="s">
        <v>1109</v>
      </c>
      <c r="H49" s="642" t="s">
        <v>17</v>
      </c>
      <c r="I49" s="3953">
        <f>ROUND(43*(1-$B$65),2)</f>
        <v>43</v>
      </c>
      <c r="J49" s="3953"/>
      <c r="K49" s="3953"/>
      <c r="L49" s="3953"/>
      <c r="M49" s="3953"/>
      <c r="N49" s="3953"/>
      <c r="O49" s="3953"/>
      <c r="P49" s="3953"/>
      <c r="Q49" s="390"/>
    </row>
    <row r="50" spans="1:18" ht="44.25" customHeight="1" x14ac:dyDescent="0.3">
      <c r="A50" s="631"/>
      <c r="B50" s="3952" t="s">
        <v>1110</v>
      </c>
      <c r="C50" s="3952"/>
      <c r="D50" s="640" t="s">
        <v>1111</v>
      </c>
      <c r="E50" s="640">
        <v>100</v>
      </c>
      <c r="F50" s="641"/>
      <c r="G50" s="641" t="s">
        <v>970</v>
      </c>
      <c r="H50" s="642">
        <v>1.4</v>
      </c>
      <c r="I50" s="3953">
        <f>ROUND(47*(1-$B$65),2)</f>
        <v>47</v>
      </c>
      <c r="J50" s="3953"/>
      <c r="K50" s="3953"/>
      <c r="L50" s="3953"/>
      <c r="M50" s="3953"/>
      <c r="N50" s="3953"/>
      <c r="O50" s="3953"/>
      <c r="P50" s="3953"/>
      <c r="Q50" s="390"/>
    </row>
    <row r="51" spans="1:18" ht="69.75" x14ac:dyDescent="0.3">
      <c r="A51" s="631"/>
      <c r="B51" s="3952" t="s">
        <v>1112</v>
      </c>
      <c r="C51" s="3952"/>
      <c r="D51" s="640" t="s">
        <v>1113</v>
      </c>
      <c r="E51" s="640">
        <v>160</v>
      </c>
      <c r="F51" s="641">
        <v>0.01</v>
      </c>
      <c r="G51" s="641" t="s">
        <v>1114</v>
      </c>
      <c r="H51" s="642">
        <v>0.5</v>
      </c>
      <c r="I51" s="3953">
        <f>ROUND(26*(1-$B$65),2)</f>
        <v>26</v>
      </c>
      <c r="J51" s="3953"/>
      <c r="K51" s="3953"/>
      <c r="L51" s="3953"/>
      <c r="M51" s="3953"/>
      <c r="N51" s="3953"/>
      <c r="O51" s="3953"/>
      <c r="P51" s="3953"/>
      <c r="Q51" s="390"/>
    </row>
    <row r="52" spans="1:18" ht="47.25" customHeight="1" x14ac:dyDescent="0.3">
      <c r="A52" s="643"/>
      <c r="B52" s="3947" t="s">
        <v>1115</v>
      </c>
      <c r="C52" s="3947"/>
      <c r="D52" s="3948" t="s">
        <v>17</v>
      </c>
      <c r="E52" s="644">
        <v>1000</v>
      </c>
      <c r="F52" s="645">
        <v>6.0000000000000001E-3</v>
      </c>
      <c r="G52" s="3949" t="s">
        <v>1081</v>
      </c>
      <c r="H52" s="646" t="s">
        <v>17</v>
      </c>
      <c r="I52" s="3903">
        <f>ROUND(1.6*(1-$F$65),2)</f>
        <v>1.6</v>
      </c>
      <c r="J52" s="3903"/>
      <c r="K52" s="3903"/>
      <c r="L52" s="3903"/>
      <c r="M52" s="3903"/>
      <c r="N52" s="3903"/>
      <c r="O52" s="3903"/>
      <c r="P52" s="3903"/>
      <c r="Q52" s="390"/>
    </row>
    <row r="53" spans="1:18" ht="50.25" customHeight="1" x14ac:dyDescent="0.3">
      <c r="A53" s="631"/>
      <c r="B53" s="3951" t="s">
        <v>1116</v>
      </c>
      <c r="C53" s="3951"/>
      <c r="D53" s="3489"/>
      <c r="E53" s="646">
        <v>1000</v>
      </c>
      <c r="F53" s="645">
        <v>6.0000000000000001E-3</v>
      </c>
      <c r="G53" s="3950"/>
      <c r="H53" s="646" t="s">
        <v>17</v>
      </c>
      <c r="I53" s="3903">
        <f>ROUND(1.7*(1-$F$65),2)</f>
        <v>1.7</v>
      </c>
      <c r="J53" s="3903"/>
      <c r="K53" s="3903"/>
      <c r="L53" s="3903"/>
      <c r="M53" s="3903"/>
      <c r="N53" s="3903"/>
      <c r="O53" s="3903"/>
      <c r="P53" s="3903"/>
      <c r="Q53" s="390"/>
    </row>
    <row r="54" spans="1:18" ht="50.25" customHeight="1" x14ac:dyDescent="0.3">
      <c r="A54" s="3938"/>
      <c r="B54" s="3939" t="s">
        <v>1117</v>
      </c>
      <c r="C54" s="3939"/>
      <c r="D54" s="3489"/>
      <c r="E54" s="3940">
        <v>250</v>
      </c>
      <c r="F54" s="3941">
        <v>6.0000000000000001E-3</v>
      </c>
      <c r="G54" s="3950"/>
      <c r="H54" s="3943" t="s">
        <v>17</v>
      </c>
      <c r="I54" s="3945">
        <f>ROUND(4*(1-$D$65),2)</f>
        <v>4</v>
      </c>
      <c r="J54" s="3945"/>
      <c r="K54" s="3945"/>
      <c r="L54" s="3945"/>
      <c r="M54" s="3945"/>
      <c r="N54" s="3945"/>
      <c r="O54" s="3945"/>
      <c r="P54" s="3945"/>
      <c r="Q54" s="390"/>
    </row>
    <row r="55" spans="1:18" ht="45.75" customHeight="1" x14ac:dyDescent="0.3">
      <c r="A55" s="3938"/>
      <c r="B55" s="3946" t="s">
        <v>1118</v>
      </c>
      <c r="C55" s="3946"/>
      <c r="D55" s="3489"/>
      <c r="E55" s="3940"/>
      <c r="F55" s="3942"/>
      <c r="G55" s="3948"/>
      <c r="H55" s="3944"/>
      <c r="I55" s="3945">
        <f>ROUND(4*(1-$C$65),2)</f>
        <v>4</v>
      </c>
      <c r="J55" s="3945"/>
      <c r="K55" s="3945"/>
      <c r="L55" s="3945"/>
      <c r="M55" s="3945"/>
      <c r="N55" s="3945"/>
      <c r="O55" s="3945"/>
      <c r="P55" s="3945"/>
      <c r="Q55" s="390"/>
    </row>
    <row r="56" spans="1:18" ht="20.25" x14ac:dyDescent="0.3">
      <c r="P56" s="647"/>
      <c r="Q56" s="647"/>
      <c r="R56" s="390"/>
    </row>
    <row r="57" spans="1:18" ht="23.25" x14ac:dyDescent="0.35">
      <c r="A57" s="648" t="s">
        <v>1119</v>
      </c>
      <c r="B57" s="648"/>
      <c r="C57" s="649"/>
      <c r="D57" s="649"/>
      <c r="E57" s="649"/>
      <c r="F57" s="649"/>
      <c r="G57" s="649"/>
      <c r="H57" s="649"/>
      <c r="I57" s="649"/>
      <c r="J57" s="649"/>
      <c r="K57" s="649"/>
      <c r="L57" s="649"/>
      <c r="M57" s="649"/>
      <c r="N57" s="649"/>
      <c r="O57" s="649"/>
      <c r="P57" s="650"/>
      <c r="Q57" s="650"/>
      <c r="R57" s="390"/>
    </row>
    <row r="58" spans="1:18" ht="23.25" x14ac:dyDescent="0.35">
      <c r="A58" s="651"/>
      <c r="B58" s="392"/>
      <c r="C58" s="390"/>
      <c r="D58" s="390"/>
      <c r="E58" s="390"/>
      <c r="F58" s="390"/>
      <c r="G58" s="652"/>
      <c r="H58" s="390"/>
      <c r="I58" s="390"/>
      <c r="J58" s="390"/>
      <c r="K58" s="390"/>
      <c r="L58" s="390"/>
      <c r="M58" s="390"/>
      <c r="N58" s="390"/>
      <c r="O58" s="390"/>
      <c r="P58" s="390"/>
      <c r="Q58" s="390"/>
      <c r="R58" s="653"/>
    </row>
    <row r="59" spans="1:18" ht="20.25" x14ac:dyDescent="0.3">
      <c r="A59" s="561" t="s">
        <v>1008</v>
      </c>
      <c r="P59" s="390"/>
      <c r="Q59" s="390"/>
      <c r="R59" s="390"/>
    </row>
    <row r="60" spans="1:18" ht="20.25" x14ac:dyDescent="0.3">
      <c r="A60" s="390"/>
      <c r="B60" s="390"/>
      <c r="C60" s="390"/>
      <c r="D60" s="390"/>
      <c r="E60" s="390"/>
      <c r="F60" s="390"/>
      <c r="G60" s="652"/>
      <c r="H60" s="390"/>
      <c r="I60" s="390"/>
      <c r="J60" s="390"/>
      <c r="K60" s="390"/>
      <c r="L60" s="390"/>
      <c r="M60" s="390"/>
      <c r="N60" s="390"/>
      <c r="O60" s="390"/>
      <c r="P60" s="390"/>
      <c r="Q60" s="390"/>
      <c r="R60" s="390"/>
    </row>
    <row r="61" spans="1:18" ht="20.25" x14ac:dyDescent="0.3">
      <c r="B61" s="561"/>
      <c r="C61" s="561"/>
      <c r="D61" s="561"/>
      <c r="E61" s="561"/>
      <c r="F61" s="561"/>
      <c r="G61" s="561"/>
      <c r="H61" s="561"/>
      <c r="I61" s="561"/>
      <c r="J61" s="561"/>
      <c r="K61" s="561"/>
      <c r="L61" s="561"/>
      <c r="M61" s="561"/>
      <c r="N61" s="561"/>
      <c r="O61" s="561"/>
      <c r="P61" s="390"/>
      <c r="Q61" s="390"/>
      <c r="R61" s="390"/>
    </row>
    <row r="62" spans="1:18" ht="20.25" x14ac:dyDescent="0.3">
      <c r="B62" s="390"/>
      <c r="C62" s="390"/>
      <c r="D62" s="390"/>
      <c r="E62" s="390"/>
      <c r="F62" s="390"/>
      <c r="G62" s="652"/>
      <c r="H62" s="390"/>
      <c r="I62" s="390"/>
      <c r="J62" s="390"/>
      <c r="K62" s="390"/>
      <c r="L62" s="390"/>
      <c r="M62" s="390"/>
      <c r="N62" s="390"/>
      <c r="O62" s="390"/>
      <c r="P62" s="390"/>
      <c r="Q62" s="390"/>
      <c r="R62" s="390"/>
    </row>
    <row r="63" spans="1:18" ht="20.25" x14ac:dyDescent="0.3">
      <c r="A63" s="654"/>
      <c r="B63" s="390"/>
      <c r="C63" s="390"/>
      <c r="D63" s="390"/>
      <c r="E63" s="390"/>
      <c r="F63" s="390"/>
      <c r="G63" s="652"/>
      <c r="H63" s="390"/>
      <c r="I63" s="390"/>
      <c r="J63" s="390"/>
      <c r="K63" s="390"/>
      <c r="L63" s="390"/>
      <c r="M63" s="390"/>
      <c r="N63" s="390"/>
      <c r="O63" s="390"/>
      <c r="P63" s="390"/>
      <c r="Q63" s="390"/>
      <c r="R63" s="390"/>
    </row>
    <row r="64" spans="1:18" ht="46.5" x14ac:dyDescent="0.3">
      <c r="A64" s="2541" t="s">
        <v>949</v>
      </c>
      <c r="B64" s="2065" t="s">
        <v>548</v>
      </c>
      <c r="C64" s="2066" t="s">
        <v>1120</v>
      </c>
      <c r="D64" s="3936" t="s">
        <v>1121</v>
      </c>
      <c r="E64" s="3937"/>
      <c r="F64" s="3936" t="s">
        <v>1122</v>
      </c>
      <c r="G64" s="3937"/>
      <c r="H64" s="390"/>
      <c r="I64" s="390"/>
      <c r="J64" s="390"/>
      <c r="K64" s="390"/>
      <c r="L64" s="390"/>
      <c r="M64" s="390"/>
      <c r="N64" s="390"/>
      <c r="O64" s="390"/>
      <c r="P64" s="390"/>
      <c r="Q64" s="390"/>
      <c r="R64" s="390"/>
    </row>
    <row r="65" spans="1:18" ht="23.25" x14ac:dyDescent="0.3">
      <c r="A65" s="2541"/>
      <c r="B65" s="2052">
        <v>0</v>
      </c>
      <c r="C65" s="2052">
        <v>0</v>
      </c>
      <c r="D65" s="2522">
        <v>0</v>
      </c>
      <c r="E65" s="2565"/>
      <c r="F65" s="2522">
        <v>0</v>
      </c>
      <c r="G65" s="2565"/>
      <c r="H65" s="390"/>
      <c r="I65" s="390"/>
      <c r="J65" s="390"/>
      <c r="K65" s="390"/>
      <c r="L65" s="390"/>
      <c r="M65" s="390"/>
      <c r="N65" s="390"/>
      <c r="O65" s="390"/>
      <c r="P65" s="390"/>
      <c r="Q65" s="390"/>
      <c r="R65" s="390"/>
    </row>
    <row r="66" spans="1:18" ht="20.25" x14ac:dyDescent="0.3">
      <c r="B66" s="390"/>
      <c r="C66" s="390"/>
      <c r="D66" s="390"/>
      <c r="E66" s="390"/>
      <c r="F66" s="652"/>
      <c r="G66" s="652"/>
      <c r="H66" s="390"/>
      <c r="I66" s="390"/>
      <c r="J66" s="390"/>
      <c r="K66" s="390"/>
      <c r="L66" s="390"/>
      <c r="M66" s="390"/>
      <c r="N66" s="390"/>
      <c r="O66" s="390"/>
      <c r="P66" s="390"/>
      <c r="Q66" s="390"/>
      <c r="R66" s="390"/>
    </row>
  </sheetData>
  <sheetProtection formatCells="0" formatColumns="0" formatRows="0" insertColumns="0" insertRows="0" insertHyperlinks="0" deleteColumns="0" deleteRows="0" sort="0" autoFilter="0" pivotTables="0"/>
  <mergeCells count="133">
    <mergeCell ref="K16:L16"/>
    <mergeCell ref="M16:N16"/>
    <mergeCell ref="A10:P10"/>
    <mergeCell ref="H11:K11"/>
    <mergeCell ref="L11:P11"/>
    <mergeCell ref="A12:A13"/>
    <mergeCell ref="B12:B13"/>
    <mergeCell ref="C12:C13"/>
    <mergeCell ref="D12:H13"/>
    <mergeCell ref="I12:P12"/>
    <mergeCell ref="I13:P13"/>
    <mergeCell ref="A20:A21"/>
    <mergeCell ref="B20:B21"/>
    <mergeCell ref="D20:H21"/>
    <mergeCell ref="I20:L20"/>
    <mergeCell ref="M20:P20"/>
    <mergeCell ref="I21:L21"/>
    <mergeCell ref="M21:P21"/>
    <mergeCell ref="O16:P16"/>
    <mergeCell ref="I17:J17"/>
    <mergeCell ref="K17:L17"/>
    <mergeCell ref="M17:N17"/>
    <mergeCell ref="O17:P17"/>
    <mergeCell ref="A18:H19"/>
    <mergeCell ref="I18:P18"/>
    <mergeCell ref="I19:L19"/>
    <mergeCell ref="M19:P19"/>
    <mergeCell ref="A14:A17"/>
    <mergeCell ref="B14:B17"/>
    <mergeCell ref="C14:C17"/>
    <mergeCell ref="D14:H17"/>
    <mergeCell ref="I14:L14"/>
    <mergeCell ref="M14:P14"/>
    <mergeCell ref="I15:P15"/>
    <mergeCell ref="I16:J16"/>
    <mergeCell ref="A22:H23"/>
    <mergeCell ref="I22:P22"/>
    <mergeCell ref="I23:L23"/>
    <mergeCell ref="M23:P23"/>
    <mergeCell ref="A24:A25"/>
    <mergeCell ref="B24:B25"/>
    <mergeCell ref="D24:H25"/>
    <mergeCell ref="I24:L24"/>
    <mergeCell ref="M24:P24"/>
    <mergeCell ref="I25:L25"/>
    <mergeCell ref="A29:A30"/>
    <mergeCell ref="B29:C30"/>
    <mergeCell ref="G29:G30"/>
    <mergeCell ref="H29:H30"/>
    <mergeCell ref="I29:P29"/>
    <mergeCell ref="I30:P30"/>
    <mergeCell ref="M25:P25"/>
    <mergeCell ref="D26:H26"/>
    <mergeCell ref="I26:L26"/>
    <mergeCell ref="M26:P26"/>
    <mergeCell ref="A27:P27"/>
    <mergeCell ref="B28:C28"/>
    <mergeCell ref="I28:P28"/>
    <mergeCell ref="A31:A34"/>
    <mergeCell ref="B31:C34"/>
    <mergeCell ref="G31:G32"/>
    <mergeCell ref="H31:H34"/>
    <mergeCell ref="I31:P31"/>
    <mergeCell ref="I32:P32"/>
    <mergeCell ref="G33:G34"/>
    <mergeCell ref="I33:P33"/>
    <mergeCell ref="I34:P34"/>
    <mergeCell ref="I35:P35"/>
    <mergeCell ref="I36:P36"/>
    <mergeCell ref="D37:D38"/>
    <mergeCell ref="E37:E38"/>
    <mergeCell ref="F37:F38"/>
    <mergeCell ref="I37:P37"/>
    <mergeCell ref="I38:P38"/>
    <mergeCell ref="A35:A40"/>
    <mergeCell ref="B35:C40"/>
    <mergeCell ref="D35:D36"/>
    <mergeCell ref="E35:E36"/>
    <mergeCell ref="F35:F36"/>
    <mergeCell ref="H35:H40"/>
    <mergeCell ref="D39:D40"/>
    <mergeCell ref="E39:E40"/>
    <mergeCell ref="F39:F40"/>
    <mergeCell ref="A43:A44"/>
    <mergeCell ref="B43:C44"/>
    <mergeCell ref="G43:G44"/>
    <mergeCell ref="H43:H44"/>
    <mergeCell ref="I43:P43"/>
    <mergeCell ref="I44:P44"/>
    <mergeCell ref="I39:P39"/>
    <mergeCell ref="I40:P40"/>
    <mergeCell ref="B41:C41"/>
    <mergeCell ref="I41:P41"/>
    <mergeCell ref="B42:C42"/>
    <mergeCell ref="I42:P42"/>
    <mergeCell ref="B51:C51"/>
    <mergeCell ref="I51:P51"/>
    <mergeCell ref="I45:P45"/>
    <mergeCell ref="I46:P46"/>
    <mergeCell ref="B47:C47"/>
    <mergeCell ref="I47:P47"/>
    <mergeCell ref="B48:C48"/>
    <mergeCell ref="I48:P48"/>
    <mergeCell ref="A45:A46"/>
    <mergeCell ref="B45:C46"/>
    <mergeCell ref="D45:D46"/>
    <mergeCell ref="E45:E46"/>
    <mergeCell ref="F45:F46"/>
    <mergeCell ref="H45:H46"/>
    <mergeCell ref="A1:U9"/>
    <mergeCell ref="A64:A65"/>
    <mergeCell ref="D64:E64"/>
    <mergeCell ref="F64:G64"/>
    <mergeCell ref="D65:E65"/>
    <mergeCell ref="F65:G65"/>
    <mergeCell ref="A54:A55"/>
    <mergeCell ref="B54:C54"/>
    <mergeCell ref="E54:E55"/>
    <mergeCell ref="F54:F55"/>
    <mergeCell ref="H54:H55"/>
    <mergeCell ref="I54:P54"/>
    <mergeCell ref="B55:C55"/>
    <mergeCell ref="I55:P55"/>
    <mergeCell ref="B52:C52"/>
    <mergeCell ref="D52:D55"/>
    <mergeCell ref="G52:G55"/>
    <mergeCell ref="I52:P52"/>
    <mergeCell ref="B53:C53"/>
    <mergeCell ref="I53:P53"/>
    <mergeCell ref="B49:C49"/>
    <mergeCell ref="I49:P49"/>
    <mergeCell ref="B50:C50"/>
    <mergeCell ref="I50:P50"/>
  </mergeCells>
  <printOptions horizontalCentered="1"/>
  <pageMargins left="0" right="0" top="0" bottom="0" header="0" footer="0"/>
  <pageSetup paperSize="9" scale="28" orientation="portrait" r:id="rId1"/>
  <headerFooter alignWithMargins="0">
    <oddFooter>&amp;R&amp;26Стр. &amp;P из  &amp;N
&amp;A</oddFooter>
  </headerFooter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8"/>
  <dimension ref="A1:GK57"/>
  <sheetViews>
    <sheetView zoomScale="40" zoomScaleNormal="40" zoomScaleSheetLayoutView="40" workbookViewId="0">
      <selection sqref="A1:C2"/>
    </sheetView>
  </sheetViews>
  <sheetFormatPr defaultColWidth="8.7109375" defaultRowHeight="15" x14ac:dyDescent="0.25"/>
  <cols>
    <col min="1" max="1" width="45.42578125" style="657" customWidth="1"/>
    <col min="2" max="2" width="31.5703125" style="657" customWidth="1"/>
    <col min="3" max="3" width="19.5703125" style="657" customWidth="1"/>
    <col min="4" max="4" width="30.140625" style="657" customWidth="1"/>
    <col min="5" max="5" width="29" style="657" customWidth="1"/>
    <col min="6" max="6" width="29.28515625" style="657" customWidth="1"/>
    <col min="7" max="7" width="27" style="657" customWidth="1"/>
    <col min="8" max="8" width="28" style="657" customWidth="1"/>
    <col min="9" max="9" width="32.28515625" style="657" customWidth="1"/>
    <col min="10" max="10" width="30.5703125" style="657" customWidth="1"/>
    <col min="11" max="11" width="32.28515625" style="657" customWidth="1"/>
    <col min="12" max="12" width="31" style="657" customWidth="1"/>
    <col min="13" max="13" width="25.140625" style="657" customWidth="1"/>
    <col min="14" max="14" width="13.140625" style="657" customWidth="1"/>
    <col min="15" max="16384" width="8.7109375" style="657"/>
  </cols>
  <sheetData>
    <row r="1" spans="1:193" x14ac:dyDescent="0.25">
      <c r="A1" s="4044"/>
      <c r="B1" s="4044"/>
      <c r="C1" s="4044"/>
      <c r="D1" s="4044"/>
      <c r="E1" s="4044"/>
      <c r="F1" s="4044"/>
      <c r="G1" s="4044"/>
      <c r="H1" s="4044"/>
      <c r="I1" s="4044"/>
      <c r="J1" s="4044"/>
      <c r="K1" s="4044"/>
      <c r="L1" s="4044"/>
      <c r="M1" s="4044"/>
    </row>
    <row r="2" spans="1:193" x14ac:dyDescent="0.25">
      <c r="A2" s="4044"/>
      <c r="B2" s="4044"/>
      <c r="C2" s="4044"/>
      <c r="D2" s="4044"/>
      <c r="E2" s="4044"/>
      <c r="F2" s="4044"/>
      <c r="G2" s="4044"/>
      <c r="H2" s="4044"/>
      <c r="I2" s="4044"/>
      <c r="J2" s="4044"/>
      <c r="K2" s="4044"/>
      <c r="L2" s="4044"/>
      <c r="M2" s="4044"/>
      <c r="N2" s="656"/>
    </row>
    <row r="3" spans="1:193" x14ac:dyDescent="0.25">
      <c r="A3" s="4044"/>
      <c r="B3" s="4044"/>
      <c r="C3" s="4044"/>
      <c r="D3" s="4044"/>
      <c r="E3" s="4044"/>
      <c r="F3" s="4044"/>
      <c r="G3" s="4044"/>
      <c r="H3" s="4044"/>
      <c r="I3" s="4044"/>
      <c r="J3" s="4044"/>
      <c r="K3" s="4044"/>
      <c r="L3" s="4044"/>
      <c r="M3" s="4044"/>
      <c r="N3" s="658"/>
    </row>
    <row r="4" spans="1:193" x14ac:dyDescent="0.25">
      <c r="A4" s="4044"/>
      <c r="B4" s="4044"/>
      <c r="C4" s="4044"/>
      <c r="D4" s="4044"/>
      <c r="E4" s="4044"/>
      <c r="F4" s="4044"/>
      <c r="G4" s="4044"/>
      <c r="H4" s="4044"/>
      <c r="I4" s="4044"/>
      <c r="J4" s="4044"/>
      <c r="K4" s="4044"/>
      <c r="L4" s="4044"/>
      <c r="M4" s="4044"/>
      <c r="N4" s="659"/>
    </row>
    <row r="5" spans="1:193" x14ac:dyDescent="0.25">
      <c r="A5" s="4044"/>
      <c r="B5" s="4044"/>
      <c r="C5" s="4044"/>
      <c r="D5" s="4044"/>
      <c r="E5" s="4044"/>
      <c r="F5" s="4044"/>
      <c r="G5" s="4044"/>
      <c r="H5" s="4044"/>
      <c r="I5" s="4044"/>
      <c r="J5" s="4044"/>
      <c r="K5" s="4044"/>
      <c r="L5" s="4044"/>
      <c r="M5" s="4044"/>
      <c r="N5" s="658"/>
    </row>
    <row r="6" spans="1:193" x14ac:dyDescent="0.25">
      <c r="A6" s="4044"/>
      <c r="B6" s="4044"/>
      <c r="C6" s="4044"/>
      <c r="D6" s="4044"/>
      <c r="E6" s="4044"/>
      <c r="F6" s="4044"/>
      <c r="G6" s="4044"/>
      <c r="H6" s="4044"/>
      <c r="I6" s="4044"/>
      <c r="J6" s="4044"/>
      <c r="K6" s="4044"/>
      <c r="L6" s="4044"/>
      <c r="M6" s="4044"/>
      <c r="N6" s="660"/>
    </row>
    <row r="7" spans="1:193" ht="45.75" customHeight="1" thickBot="1" x14ac:dyDescent="0.3">
      <c r="A7" s="4045"/>
      <c r="B7" s="4045"/>
      <c r="C7" s="4045"/>
      <c r="D7" s="4045"/>
      <c r="E7" s="4045"/>
      <c r="F7" s="4045"/>
      <c r="G7" s="4045"/>
      <c r="H7" s="4045"/>
      <c r="I7" s="4045"/>
      <c r="J7" s="4045"/>
      <c r="K7" s="4045"/>
      <c r="L7" s="4045"/>
      <c r="M7" s="4045"/>
      <c r="N7" s="660"/>
    </row>
    <row r="8" spans="1:193" ht="36" customHeight="1" x14ac:dyDescent="0.25">
      <c r="A8" s="4065" t="s">
        <v>1123</v>
      </c>
      <c r="B8" s="4065"/>
      <c r="C8" s="4065"/>
      <c r="D8" s="4065"/>
      <c r="E8" s="4065"/>
      <c r="F8" s="4065"/>
      <c r="G8" s="4065"/>
      <c r="H8" s="4065"/>
      <c r="I8" s="4065"/>
      <c r="J8" s="4065"/>
      <c r="K8" s="4065"/>
      <c r="L8" s="4065"/>
      <c r="M8" s="4065"/>
      <c r="N8" s="661"/>
      <c r="O8" s="662"/>
      <c r="P8" s="662"/>
      <c r="Q8" s="662"/>
      <c r="R8" s="662"/>
      <c r="S8" s="662"/>
      <c r="T8" s="662"/>
      <c r="U8" s="662"/>
      <c r="V8" s="662"/>
      <c r="W8" s="662"/>
      <c r="X8" s="662"/>
      <c r="Y8" s="662"/>
      <c r="Z8" s="662"/>
      <c r="AA8" s="662"/>
      <c r="AB8" s="662"/>
      <c r="AC8" s="662"/>
      <c r="AD8" s="662"/>
      <c r="AE8" s="662"/>
      <c r="AF8" s="662"/>
      <c r="AG8" s="662"/>
      <c r="AH8" s="662"/>
      <c r="AI8" s="662"/>
      <c r="AJ8" s="662"/>
      <c r="AK8" s="662"/>
      <c r="AL8" s="662"/>
      <c r="AM8" s="662"/>
      <c r="AN8" s="662"/>
      <c r="AO8" s="662"/>
      <c r="AP8" s="662"/>
      <c r="AQ8" s="662"/>
      <c r="AR8" s="662"/>
      <c r="AS8" s="662"/>
      <c r="AT8" s="662"/>
      <c r="AU8" s="662"/>
      <c r="AV8" s="662"/>
      <c r="AW8" s="662"/>
      <c r="AX8" s="662"/>
      <c r="AY8" s="662"/>
      <c r="AZ8" s="662"/>
      <c r="BA8" s="662"/>
      <c r="BB8" s="662"/>
      <c r="BC8" s="662"/>
      <c r="BD8" s="662"/>
      <c r="BE8" s="662"/>
      <c r="BF8" s="662"/>
      <c r="BG8" s="662"/>
      <c r="BH8" s="662"/>
      <c r="BI8" s="662"/>
      <c r="BJ8" s="662"/>
      <c r="BK8" s="662"/>
      <c r="BL8" s="662"/>
      <c r="BM8" s="662"/>
      <c r="BN8" s="662"/>
      <c r="BO8" s="662"/>
      <c r="BP8" s="662"/>
      <c r="BQ8" s="662"/>
      <c r="BR8" s="662"/>
      <c r="BS8" s="662"/>
      <c r="BT8" s="662"/>
      <c r="BU8" s="662"/>
      <c r="BV8" s="662"/>
      <c r="BW8" s="662"/>
      <c r="BX8" s="662"/>
      <c r="BY8" s="662"/>
      <c r="BZ8" s="662"/>
      <c r="CA8" s="662"/>
      <c r="CB8" s="662"/>
      <c r="CC8" s="662"/>
      <c r="CD8" s="662"/>
      <c r="CE8" s="662"/>
      <c r="CF8" s="662"/>
      <c r="CG8" s="662"/>
      <c r="CH8" s="662"/>
      <c r="CI8" s="662"/>
      <c r="CJ8" s="662"/>
      <c r="CK8" s="662"/>
      <c r="CL8" s="662"/>
      <c r="CM8" s="662"/>
      <c r="CN8" s="662"/>
      <c r="CO8" s="662"/>
      <c r="CP8" s="662"/>
      <c r="CQ8" s="662"/>
      <c r="CR8" s="662"/>
      <c r="CS8" s="662"/>
      <c r="CT8" s="662"/>
      <c r="CU8" s="662"/>
      <c r="CV8" s="662"/>
      <c r="CW8" s="662"/>
      <c r="CX8" s="662"/>
      <c r="CY8" s="662"/>
      <c r="CZ8" s="662"/>
      <c r="DA8" s="662"/>
      <c r="DB8" s="662"/>
      <c r="DC8" s="662"/>
      <c r="DD8" s="662"/>
      <c r="DE8" s="662"/>
      <c r="DF8" s="662"/>
      <c r="DG8" s="662"/>
      <c r="DH8" s="662"/>
      <c r="DI8" s="662"/>
      <c r="DJ8" s="662"/>
      <c r="DK8" s="662"/>
      <c r="DL8" s="662"/>
      <c r="DM8" s="662"/>
      <c r="DN8" s="662"/>
      <c r="DO8" s="662"/>
      <c r="DP8" s="662"/>
      <c r="DQ8" s="662"/>
      <c r="DR8" s="662"/>
      <c r="DS8" s="662"/>
      <c r="DT8" s="662"/>
      <c r="DU8" s="662"/>
      <c r="DV8" s="662"/>
      <c r="DW8" s="662"/>
      <c r="DX8" s="662"/>
      <c r="DY8" s="662"/>
      <c r="DZ8" s="662"/>
      <c r="EA8" s="662"/>
      <c r="EB8" s="662"/>
      <c r="EC8" s="662"/>
      <c r="ED8" s="662"/>
      <c r="EE8" s="662"/>
      <c r="EF8" s="662"/>
      <c r="EG8" s="662"/>
      <c r="EH8" s="662"/>
      <c r="EI8" s="662"/>
      <c r="EJ8" s="662"/>
      <c r="EK8" s="662"/>
      <c r="EL8" s="662"/>
      <c r="EM8" s="662"/>
      <c r="EN8" s="662"/>
      <c r="EO8" s="662"/>
      <c r="EP8" s="662"/>
      <c r="EQ8" s="662"/>
      <c r="ER8" s="662"/>
      <c r="ES8" s="662"/>
      <c r="ET8" s="662"/>
      <c r="EU8" s="662"/>
      <c r="EV8" s="662"/>
      <c r="EW8" s="662"/>
      <c r="EX8" s="662"/>
      <c r="EY8" s="662"/>
      <c r="EZ8" s="662"/>
      <c r="FA8" s="662"/>
      <c r="FB8" s="662"/>
      <c r="FC8" s="662"/>
      <c r="FD8" s="662"/>
      <c r="FE8" s="662"/>
      <c r="FF8" s="662"/>
      <c r="FG8" s="662"/>
      <c r="FH8" s="662"/>
      <c r="FI8" s="662"/>
      <c r="FJ8" s="662"/>
      <c r="FK8" s="662"/>
      <c r="FL8" s="662"/>
      <c r="FM8" s="662"/>
      <c r="FN8" s="662"/>
      <c r="FO8" s="662"/>
      <c r="FP8" s="662"/>
      <c r="FQ8" s="662"/>
      <c r="FR8" s="662"/>
      <c r="FS8" s="662"/>
      <c r="FT8" s="662"/>
      <c r="FU8" s="662"/>
      <c r="FV8" s="662"/>
      <c r="FW8" s="662"/>
      <c r="FX8" s="662"/>
      <c r="FY8" s="662"/>
      <c r="FZ8" s="662"/>
      <c r="GA8" s="662"/>
      <c r="GB8" s="662"/>
      <c r="GC8" s="662"/>
      <c r="GD8" s="662"/>
      <c r="GE8" s="662"/>
      <c r="GF8" s="662"/>
      <c r="GG8" s="662"/>
      <c r="GH8" s="662"/>
      <c r="GI8" s="662"/>
      <c r="GJ8" s="662"/>
      <c r="GK8" s="662"/>
    </row>
    <row r="9" spans="1:193" ht="24.75" customHeight="1" x14ac:dyDescent="0.4">
      <c r="A9" s="663"/>
      <c r="B9" s="663"/>
      <c r="C9" s="663"/>
      <c r="D9" s="664"/>
      <c r="E9" s="664"/>
      <c r="F9" s="664"/>
      <c r="I9" s="665"/>
      <c r="J9" s="665"/>
      <c r="K9" s="666"/>
      <c r="L9" s="1164"/>
      <c r="M9" s="1165" t="s">
        <v>3171</v>
      </c>
    </row>
    <row r="10" spans="1:193" ht="57" customHeight="1" x14ac:dyDescent="0.25">
      <c r="A10" s="667" t="s">
        <v>955</v>
      </c>
      <c r="B10" s="668" t="s">
        <v>399</v>
      </c>
      <c r="C10" s="4066" t="s">
        <v>1124</v>
      </c>
      <c r="D10" s="4061"/>
      <c r="E10" s="4061"/>
      <c r="F10" s="4061"/>
      <c r="G10" s="669" t="s">
        <v>1125</v>
      </c>
      <c r="H10" s="669" t="s">
        <v>1126</v>
      </c>
      <c r="I10" s="667" t="s">
        <v>957</v>
      </c>
      <c r="J10" s="4067" t="s">
        <v>1127</v>
      </c>
      <c r="K10" s="4067"/>
      <c r="L10" s="4067"/>
      <c r="M10" s="4067"/>
    </row>
    <row r="11" spans="1:193" ht="85.5" customHeight="1" x14ac:dyDescent="0.25">
      <c r="A11" s="4043"/>
      <c r="B11" s="4094" t="s">
        <v>1128</v>
      </c>
      <c r="C11" s="4100" t="s">
        <v>1129</v>
      </c>
      <c r="D11" s="4101"/>
      <c r="E11" s="4101"/>
      <c r="F11" s="4102"/>
      <c r="G11" s="670" t="s">
        <v>1130</v>
      </c>
      <c r="H11" s="4106" t="s">
        <v>977</v>
      </c>
      <c r="I11" s="4040" t="s">
        <v>1022</v>
      </c>
      <c r="J11" s="4108">
        <f>ROUND(847*(1-$B$56),2)</f>
        <v>847</v>
      </c>
      <c r="K11" s="4108"/>
      <c r="L11" s="4108"/>
      <c r="M11" s="4108"/>
      <c r="N11" s="655"/>
    </row>
    <row r="12" spans="1:193" ht="98.25" customHeight="1" x14ac:dyDescent="0.25">
      <c r="A12" s="4043"/>
      <c r="B12" s="4096"/>
      <c r="C12" s="4103"/>
      <c r="D12" s="4104"/>
      <c r="E12" s="4104"/>
      <c r="F12" s="4105"/>
      <c r="G12" s="670" t="s">
        <v>1131</v>
      </c>
      <c r="H12" s="4107"/>
      <c r="I12" s="4042"/>
      <c r="J12" s="4108">
        <f>ROUND(996*(1-$B$56),2)</f>
        <v>996</v>
      </c>
      <c r="K12" s="4108"/>
      <c r="L12" s="4108"/>
      <c r="M12" s="4108"/>
      <c r="N12" s="655"/>
    </row>
    <row r="13" spans="1:193" ht="25.5" customHeight="1" x14ac:dyDescent="0.25">
      <c r="A13" s="671"/>
      <c r="B13" s="672"/>
      <c r="C13" s="672"/>
      <c r="D13" s="672"/>
      <c r="E13" s="673"/>
      <c r="F13" s="671"/>
      <c r="G13" s="674"/>
      <c r="H13" s="674"/>
      <c r="I13" s="675"/>
      <c r="J13" s="675"/>
      <c r="K13" s="675"/>
      <c r="L13" s="675"/>
      <c r="M13" s="675"/>
      <c r="N13" s="676"/>
    </row>
    <row r="14" spans="1:193" ht="54.75" customHeight="1" x14ac:dyDescent="0.25">
      <c r="A14" s="669" t="s">
        <v>955</v>
      </c>
      <c r="B14" s="4061" t="s">
        <v>399</v>
      </c>
      <c r="C14" s="4061"/>
      <c r="D14" s="4061"/>
      <c r="E14" s="669" t="s">
        <v>1132</v>
      </c>
      <c r="F14" s="669" t="s">
        <v>1133</v>
      </c>
      <c r="G14" s="669" t="s">
        <v>1134</v>
      </c>
      <c r="H14" s="677" t="s">
        <v>964</v>
      </c>
      <c r="I14" s="669" t="s">
        <v>957</v>
      </c>
      <c r="J14" s="4075" t="s">
        <v>965</v>
      </c>
      <c r="K14" s="4076"/>
      <c r="L14" s="4076"/>
      <c r="M14" s="4077"/>
      <c r="N14" s="655"/>
    </row>
    <row r="15" spans="1:193" ht="55.5" customHeight="1" x14ac:dyDescent="0.25">
      <c r="A15" s="4109"/>
      <c r="B15" s="4122" t="s">
        <v>2599</v>
      </c>
      <c r="C15" s="4131"/>
      <c r="D15" s="4123"/>
      <c r="E15" s="680">
        <v>2.2000000000000002</v>
      </c>
      <c r="F15" s="681" t="s">
        <v>1136</v>
      </c>
      <c r="G15" s="680" t="s">
        <v>1135</v>
      </c>
      <c r="H15" s="682">
        <v>6</v>
      </c>
      <c r="I15" s="683" t="s">
        <v>1022</v>
      </c>
      <c r="J15" s="4110">
        <f>ROUND(1420*(1-$J$61),2)</f>
        <v>1420</v>
      </c>
      <c r="K15" s="4111"/>
      <c r="L15" s="4111"/>
      <c r="M15" s="4112"/>
      <c r="N15" s="655"/>
    </row>
    <row r="16" spans="1:193" ht="51" customHeight="1" x14ac:dyDescent="0.25">
      <c r="A16" s="4109"/>
      <c r="B16" s="4122" t="s">
        <v>2600</v>
      </c>
      <c r="C16" s="4123"/>
      <c r="D16" s="1500" t="s">
        <v>118</v>
      </c>
      <c r="E16" s="685">
        <v>2.5</v>
      </c>
      <c r="F16" s="687" t="s">
        <v>1139</v>
      </c>
      <c r="G16" s="685" t="s">
        <v>1140</v>
      </c>
      <c r="H16" s="678">
        <v>43</v>
      </c>
      <c r="I16" s="679" t="s">
        <v>1022</v>
      </c>
      <c r="J16" s="4128">
        <f>ROUND(10500*(1-$J$61),2)</f>
        <v>10500</v>
      </c>
      <c r="K16" s="4129"/>
      <c r="L16" s="4129"/>
      <c r="M16" s="4130"/>
      <c r="N16" s="655"/>
    </row>
    <row r="17" spans="1:19" ht="51" x14ac:dyDescent="0.25">
      <c r="A17" s="4109"/>
      <c r="B17" s="4124"/>
      <c r="C17" s="4125"/>
      <c r="D17" s="1500" t="s">
        <v>2230</v>
      </c>
      <c r="E17" s="688">
        <v>3</v>
      </c>
      <c r="F17" s="689" t="s">
        <v>1139</v>
      </c>
      <c r="G17" s="688" t="s">
        <v>1140</v>
      </c>
      <c r="H17" s="690">
        <v>73</v>
      </c>
      <c r="I17" s="691" t="s">
        <v>1022</v>
      </c>
      <c r="J17" s="4119">
        <f>ROUND(15600*(1-$J$61),2)</f>
        <v>15600</v>
      </c>
      <c r="K17" s="4120"/>
      <c r="L17" s="4120"/>
      <c r="M17" s="4121"/>
      <c r="N17" s="655"/>
    </row>
    <row r="18" spans="1:19" ht="63.75" customHeight="1" x14ac:dyDescent="0.25">
      <c r="A18" s="4109"/>
      <c r="B18" s="4124"/>
      <c r="C18" s="4125"/>
      <c r="D18" s="4094" t="s">
        <v>2229</v>
      </c>
      <c r="E18" s="1501">
        <v>2.1</v>
      </c>
      <c r="F18" s="2354" t="s">
        <v>1137</v>
      </c>
      <c r="G18" s="1501" t="s">
        <v>1135</v>
      </c>
      <c r="H18" s="2376"/>
      <c r="I18" s="679" t="s">
        <v>1022</v>
      </c>
      <c r="J18" s="4062">
        <f>ROUND(5290*(1-$B$56),2)</f>
        <v>5290</v>
      </c>
      <c r="K18" s="4063"/>
      <c r="L18" s="4063"/>
      <c r="M18" s="4064"/>
      <c r="N18" s="655"/>
    </row>
    <row r="19" spans="1:19" ht="56.25" customHeight="1" x14ac:dyDescent="0.25">
      <c r="A19" s="4109"/>
      <c r="B19" s="4124"/>
      <c r="C19" s="4125"/>
      <c r="D19" s="4095"/>
      <c r="E19" s="1501">
        <v>2.1</v>
      </c>
      <c r="F19" s="1499" t="s">
        <v>1138</v>
      </c>
      <c r="G19" s="1501" t="s">
        <v>1135</v>
      </c>
      <c r="H19" s="678">
        <v>28</v>
      </c>
      <c r="I19" s="679" t="s">
        <v>1022</v>
      </c>
      <c r="J19" s="4116">
        <f>ROUND(6260*(1-$B$56),2)</f>
        <v>6260</v>
      </c>
      <c r="K19" s="4117"/>
      <c r="L19" s="4117"/>
      <c r="M19" s="4118"/>
      <c r="N19" s="655"/>
    </row>
    <row r="20" spans="1:19" ht="54.75" customHeight="1" x14ac:dyDescent="0.25">
      <c r="A20" s="4109"/>
      <c r="B20" s="4126"/>
      <c r="C20" s="4127"/>
      <c r="D20" s="4096"/>
      <c r="E20" s="688">
        <v>2.1</v>
      </c>
      <c r="F20" s="689" t="s">
        <v>1139</v>
      </c>
      <c r="G20" s="688" t="s">
        <v>1135</v>
      </c>
      <c r="H20" s="690">
        <v>31.2</v>
      </c>
      <c r="I20" s="691" t="s">
        <v>1022</v>
      </c>
      <c r="J20" s="4119">
        <f>ROUND(6900*(1-$B$56),2)</f>
        <v>6900</v>
      </c>
      <c r="K20" s="4120"/>
      <c r="L20" s="4120"/>
      <c r="M20" s="4121"/>
      <c r="N20" s="655"/>
    </row>
    <row r="21" spans="1:19" ht="79.5" customHeight="1" x14ac:dyDescent="0.25">
      <c r="A21" s="4109"/>
      <c r="B21" s="4074" t="s">
        <v>2601</v>
      </c>
      <c r="C21" s="4074"/>
      <c r="D21" s="4074"/>
      <c r="E21" s="685">
        <v>2.1</v>
      </c>
      <c r="F21" s="687" t="s">
        <v>1141</v>
      </c>
      <c r="G21" s="685" t="s">
        <v>1142</v>
      </c>
      <c r="H21" s="692">
        <v>12.6</v>
      </c>
      <c r="I21" s="679" t="s">
        <v>1022</v>
      </c>
      <c r="J21" s="4113">
        <f>ROUND(2600*(1-$J$61),2)</f>
        <v>2600</v>
      </c>
      <c r="K21" s="4114"/>
      <c r="L21" s="4114"/>
      <c r="M21" s="4115"/>
      <c r="N21" s="655"/>
    </row>
    <row r="22" spans="1:19" ht="66" customHeight="1" x14ac:dyDescent="0.25">
      <c r="A22" s="693"/>
      <c r="B22" s="4055" t="s">
        <v>1143</v>
      </c>
      <c r="C22" s="4056"/>
      <c r="D22" s="4057"/>
      <c r="E22" s="4058" t="s">
        <v>17</v>
      </c>
      <c r="F22" s="4059"/>
      <c r="G22" s="4060"/>
      <c r="H22" s="694"/>
      <c r="I22" s="686" t="s">
        <v>17</v>
      </c>
      <c r="J22" s="4097">
        <f>ROUND(20*(1-$B$56),2)</f>
        <v>20</v>
      </c>
      <c r="K22" s="4098"/>
      <c r="L22" s="4098"/>
      <c r="M22" s="4099"/>
      <c r="N22" s="655"/>
    </row>
    <row r="23" spans="1:19" ht="70.5" customHeight="1" x14ac:dyDescent="0.25">
      <c r="A23" s="981"/>
      <c r="B23" s="4074" t="s">
        <v>578</v>
      </c>
      <c r="C23" s="4074"/>
      <c r="D23" s="4074"/>
      <c r="E23" s="4058" t="s">
        <v>17</v>
      </c>
      <c r="F23" s="4059"/>
      <c r="G23" s="4060"/>
      <c r="H23" s="694">
        <v>0.28000000000000003</v>
      </c>
      <c r="I23" s="686" t="s">
        <v>17</v>
      </c>
      <c r="J23" s="4097">
        <v>1470</v>
      </c>
      <c r="K23" s="4098"/>
      <c r="L23" s="4098"/>
      <c r="M23" s="4099"/>
      <c r="N23" s="655"/>
    </row>
    <row r="24" spans="1:19" ht="28.5" customHeight="1" x14ac:dyDescent="0.25">
      <c r="A24" s="695"/>
      <c r="B24" s="696"/>
      <c r="C24" s="696"/>
      <c r="D24" s="696"/>
      <c r="E24" s="697"/>
      <c r="F24" s="698"/>
      <c r="G24" s="697"/>
      <c r="H24" s="697"/>
      <c r="I24" s="697"/>
      <c r="J24" s="699"/>
      <c r="K24" s="699"/>
      <c r="L24" s="699"/>
      <c r="M24" s="699"/>
      <c r="N24" s="655"/>
    </row>
    <row r="25" spans="1:19" ht="54.75" customHeight="1" x14ac:dyDescent="0.25">
      <c r="A25" s="669" t="s">
        <v>955</v>
      </c>
      <c r="B25" s="4061" t="s">
        <v>399</v>
      </c>
      <c r="C25" s="4061"/>
      <c r="D25" s="4061"/>
      <c r="E25" s="4061" t="s">
        <v>1126</v>
      </c>
      <c r="F25" s="4061"/>
      <c r="G25" s="669" t="s">
        <v>964</v>
      </c>
      <c r="H25" s="700" t="s">
        <v>960</v>
      </c>
      <c r="I25" s="669" t="s">
        <v>957</v>
      </c>
      <c r="J25" s="4075" t="s">
        <v>965</v>
      </c>
      <c r="K25" s="4076"/>
      <c r="L25" s="4076"/>
      <c r="M25" s="4077"/>
      <c r="N25" s="655"/>
    </row>
    <row r="26" spans="1:19" ht="156.75" customHeight="1" x14ac:dyDescent="0.25">
      <c r="A26" s="1774"/>
      <c r="B26" s="4070" t="s">
        <v>2598</v>
      </c>
      <c r="C26" s="4070"/>
      <c r="D26" s="4070"/>
      <c r="E26" s="4071" t="s">
        <v>2595</v>
      </c>
      <c r="F26" s="4072"/>
      <c r="G26" s="1763" t="s">
        <v>2596</v>
      </c>
      <c r="H26" s="703">
        <v>3</v>
      </c>
      <c r="I26" s="704" t="s">
        <v>970</v>
      </c>
      <c r="J26" s="4073">
        <f>ROUND(2212*(1-$B$56),2)</f>
        <v>2212</v>
      </c>
      <c r="K26" s="4073"/>
      <c r="L26" s="4073"/>
      <c r="M26" s="4073"/>
      <c r="N26" s="1776"/>
      <c r="O26" s="1775"/>
    </row>
    <row r="27" spans="1:19" ht="74.25" customHeight="1" x14ac:dyDescent="0.25">
      <c r="A27" s="701"/>
      <c r="B27" s="4055" t="s">
        <v>1144</v>
      </c>
      <c r="C27" s="4056"/>
      <c r="D27" s="4057"/>
      <c r="E27" s="4068">
        <v>51</v>
      </c>
      <c r="F27" s="4069"/>
      <c r="G27" s="702">
        <v>0.13</v>
      </c>
      <c r="H27" s="703" t="s">
        <v>17</v>
      </c>
      <c r="I27" s="704" t="s">
        <v>970</v>
      </c>
      <c r="J27" s="4062">
        <f>ROUND(60*(1-$B$56),2)</f>
        <v>60</v>
      </c>
      <c r="K27" s="4063"/>
      <c r="L27" s="4063"/>
      <c r="M27" s="4064"/>
      <c r="N27" s="655"/>
    </row>
    <row r="28" spans="1:19" ht="72.75" customHeight="1" x14ac:dyDescent="0.25">
      <c r="A28" s="701"/>
      <c r="B28" s="4092" t="s">
        <v>1145</v>
      </c>
      <c r="C28" s="4092"/>
      <c r="D28" s="4092"/>
      <c r="E28" s="4093" t="s">
        <v>2836</v>
      </c>
      <c r="F28" s="4093"/>
      <c r="G28" s="702">
        <v>25.33</v>
      </c>
      <c r="H28" s="703">
        <v>36</v>
      </c>
      <c r="I28" s="703" t="s">
        <v>17</v>
      </c>
      <c r="J28" s="4062">
        <f>ROUND(665*(1-$B$56),2)</f>
        <v>665</v>
      </c>
      <c r="K28" s="4063"/>
      <c r="L28" s="4063"/>
      <c r="M28" s="4064"/>
      <c r="N28" s="705"/>
    </row>
    <row r="29" spans="1:19" ht="21.75" customHeight="1" x14ac:dyDescent="0.35">
      <c r="A29" s="706"/>
      <c r="B29" s="706"/>
      <c r="C29" s="706"/>
      <c r="D29" s="706"/>
      <c r="E29" s="706"/>
      <c r="F29" s="706"/>
      <c r="G29" s="706"/>
      <c r="H29" s="706"/>
      <c r="I29" s="706"/>
      <c r="J29" s="706"/>
      <c r="K29" s="706"/>
      <c r="L29" s="706"/>
      <c r="M29" s="706"/>
      <c r="N29" s="664"/>
    </row>
    <row r="30" spans="1:19" ht="38.25" customHeight="1" x14ac:dyDescent="0.25">
      <c r="A30" s="4090" t="s">
        <v>3174</v>
      </c>
      <c r="B30" s="4090"/>
      <c r="C30" s="4091" t="s">
        <v>3176</v>
      </c>
      <c r="D30" s="4091"/>
      <c r="E30" s="4091"/>
      <c r="F30" s="4091"/>
      <c r="G30" s="4091"/>
      <c r="H30" s="4091"/>
      <c r="I30" s="4091"/>
      <c r="J30" s="4091"/>
      <c r="K30" s="4091"/>
      <c r="L30" s="4091"/>
      <c r="M30" s="4091"/>
      <c r="N30" s="655"/>
    </row>
    <row r="31" spans="1:19" ht="38.25" customHeight="1" x14ac:dyDescent="0.25">
      <c r="A31" s="4090"/>
      <c r="B31" s="4090"/>
      <c r="C31" s="4091"/>
      <c r="D31" s="4091"/>
      <c r="E31" s="4091"/>
      <c r="F31" s="4091"/>
      <c r="G31" s="4091"/>
      <c r="H31" s="4091"/>
      <c r="I31" s="4091"/>
      <c r="J31" s="4091"/>
      <c r="K31" s="4091"/>
      <c r="L31" s="4091"/>
      <c r="M31" s="4091"/>
      <c r="N31" s="655"/>
    </row>
    <row r="32" spans="1:19" ht="38.25" customHeight="1" x14ac:dyDescent="0.25">
      <c r="A32" s="4090"/>
      <c r="B32" s="4090"/>
      <c r="C32" s="4091"/>
      <c r="D32" s="4091"/>
      <c r="E32" s="4091"/>
      <c r="F32" s="4091"/>
      <c r="G32" s="4091"/>
      <c r="H32" s="4091"/>
      <c r="I32" s="4091"/>
      <c r="J32" s="4091"/>
      <c r="K32" s="4091"/>
      <c r="L32" s="4091"/>
      <c r="M32" s="4091"/>
      <c r="N32" s="655"/>
      <c r="Q32" s="1302"/>
      <c r="R32" s="1302"/>
      <c r="S32" s="1303"/>
    </row>
    <row r="33" spans="1:19" ht="37.5" customHeight="1" x14ac:dyDescent="0.25">
      <c r="A33" s="2107" t="s">
        <v>1625</v>
      </c>
      <c r="B33" s="2107" t="s">
        <v>1626</v>
      </c>
      <c r="C33" s="2107" t="s">
        <v>2930</v>
      </c>
      <c r="D33" s="2107" t="s">
        <v>213</v>
      </c>
      <c r="E33" s="2107" t="s">
        <v>2925</v>
      </c>
      <c r="F33" s="2107" t="s">
        <v>2348</v>
      </c>
      <c r="G33" s="2107" t="s">
        <v>1769</v>
      </c>
      <c r="H33" s="2107" t="s">
        <v>2931</v>
      </c>
      <c r="I33" s="2107" t="s">
        <v>165</v>
      </c>
      <c r="J33" s="2107" t="s">
        <v>162</v>
      </c>
      <c r="K33" s="2107" t="s">
        <v>1829</v>
      </c>
      <c r="L33" s="2107" t="s">
        <v>1906</v>
      </c>
      <c r="M33" s="2107" t="s">
        <v>2104</v>
      </c>
      <c r="N33" s="655"/>
      <c r="Q33" s="1302"/>
      <c r="R33" s="1302"/>
      <c r="S33" s="1303"/>
    </row>
    <row r="34" spans="1:19" ht="20.25" hidden="1" x14ac:dyDescent="0.25">
      <c r="A34" s="2983" t="s">
        <v>3175</v>
      </c>
      <c r="B34" s="2985"/>
      <c r="C34" s="2107">
        <v>850</v>
      </c>
      <c r="D34" s="2107">
        <v>1000</v>
      </c>
      <c r="E34" s="2107">
        <v>1250</v>
      </c>
      <c r="F34" s="2107">
        <v>1250</v>
      </c>
      <c r="G34" s="2107">
        <v>1300</v>
      </c>
      <c r="H34" s="2107">
        <v>1400</v>
      </c>
      <c r="I34" s="2107">
        <v>1400</v>
      </c>
      <c r="J34" s="2107">
        <v>1500</v>
      </c>
      <c r="K34" s="2107">
        <v>1500</v>
      </c>
      <c r="L34" s="2107">
        <v>1520</v>
      </c>
      <c r="M34" s="2107">
        <v>1620</v>
      </c>
      <c r="N34" s="655"/>
      <c r="Q34" s="1303"/>
      <c r="R34" s="1303"/>
      <c r="S34" s="1303"/>
    </row>
    <row r="35" spans="1:19" ht="38.25" customHeight="1" x14ac:dyDescent="0.25">
      <c r="A35" s="891">
        <v>500</v>
      </c>
      <c r="B35" s="890">
        <v>500</v>
      </c>
      <c r="C35" s="2106">
        <f>ROUND(((A35+B35)*C34)/1000*(1-J56),2)</f>
        <v>850</v>
      </c>
      <c r="D35" s="2106">
        <f>ROUND(((A35+B35)*D34)/1000*(1-J56),2)</f>
        <v>1000</v>
      </c>
      <c r="E35" s="2106">
        <f>ROUND(((A35+B35)*E34)/1000*(1-J56),2)</f>
        <v>1250</v>
      </c>
      <c r="F35" s="2106">
        <f>ROUND(((A35+B35)*F34)/1000*(1-J56),2)</f>
        <v>1250</v>
      </c>
      <c r="G35" s="2106">
        <f>ROUND(((A35+B35)*G34)/1000*(1-J56),2)</f>
        <v>1300</v>
      </c>
      <c r="H35" s="2106">
        <f>ROUND(((A35+B35)*H34)/1000*(1-J56),2)</f>
        <v>1400</v>
      </c>
      <c r="I35" s="2106">
        <f>ROUND(((A35+B35)*I34)/1000*(1-J56),2)</f>
        <v>1400</v>
      </c>
      <c r="J35" s="2106">
        <f>ROUND(((A35+B35)*J34)/1000*(1-J56),2)</f>
        <v>1500</v>
      </c>
      <c r="K35" s="2106">
        <f>ROUND(((A35+B35)*K34)/1000*(1-J56),2)</f>
        <v>1500</v>
      </c>
      <c r="L35" s="2106">
        <f>ROUND(((A35+B35)*L34)/1000*(1-J56),2)</f>
        <v>1520</v>
      </c>
      <c r="M35" s="2106">
        <f>ROUND(((A35+B35)*M34)/1000*(1-J56),2)</f>
        <v>1620</v>
      </c>
      <c r="N35" s="655"/>
    </row>
    <row r="36" spans="1:19" ht="26.25" x14ac:dyDescent="0.35">
      <c r="A36" s="707"/>
      <c r="B36" s="708"/>
      <c r="C36" s="709"/>
      <c r="D36" s="709"/>
      <c r="E36" s="709"/>
      <c r="F36" s="709"/>
      <c r="G36" s="710"/>
      <c r="H36" s="711"/>
      <c r="I36" s="711"/>
      <c r="J36" s="671"/>
      <c r="K36" s="674"/>
      <c r="L36" s="712"/>
      <c r="M36" s="713"/>
      <c r="N36" s="655"/>
    </row>
    <row r="37" spans="1:19" ht="26.25" x14ac:dyDescent="0.25">
      <c r="A37" s="4046" t="s">
        <v>955</v>
      </c>
      <c r="B37" s="4047"/>
      <c r="C37" s="4047"/>
      <c r="D37" s="4048"/>
      <c r="E37" s="4084" t="s">
        <v>1146</v>
      </c>
      <c r="F37" s="4084" t="s">
        <v>1147</v>
      </c>
      <c r="G37" s="4084" t="s">
        <v>802</v>
      </c>
      <c r="H37" s="4087" t="s">
        <v>960</v>
      </c>
      <c r="I37" s="4061" t="s">
        <v>1148</v>
      </c>
      <c r="J37" s="4061"/>
      <c r="K37" s="4061"/>
      <c r="L37" s="4061"/>
      <c r="M37" s="4061"/>
      <c r="N37" s="655"/>
    </row>
    <row r="38" spans="1:19" ht="51.75" customHeight="1" x14ac:dyDescent="0.25">
      <c r="A38" s="4049"/>
      <c r="B38" s="4050"/>
      <c r="C38" s="4050"/>
      <c r="D38" s="4051"/>
      <c r="E38" s="4085"/>
      <c r="F38" s="4085"/>
      <c r="G38" s="4085"/>
      <c r="H38" s="4088"/>
      <c r="I38" s="4086" t="s">
        <v>1149</v>
      </c>
      <c r="J38" s="4086"/>
      <c r="K38" s="4086" t="s">
        <v>1150</v>
      </c>
      <c r="L38" s="4086"/>
      <c r="M38" s="4086" t="s">
        <v>210</v>
      </c>
      <c r="N38" s="655"/>
    </row>
    <row r="39" spans="1:19" ht="53.25" customHeight="1" x14ac:dyDescent="0.25">
      <c r="A39" s="4052"/>
      <c r="B39" s="4053"/>
      <c r="C39" s="4053"/>
      <c r="D39" s="4054"/>
      <c r="E39" s="4066"/>
      <c r="F39" s="4066"/>
      <c r="G39" s="4066"/>
      <c r="H39" s="4089"/>
      <c r="I39" s="714" t="s">
        <v>1151</v>
      </c>
      <c r="J39" s="715" t="s">
        <v>1152</v>
      </c>
      <c r="K39" s="714" t="s">
        <v>1151</v>
      </c>
      <c r="L39" s="715" t="s">
        <v>1152</v>
      </c>
      <c r="M39" s="4086"/>
    </row>
    <row r="40" spans="1:19" ht="57.75" customHeight="1" x14ac:dyDescent="0.25">
      <c r="A40" s="4135"/>
      <c r="B40" s="4135"/>
      <c r="C40" s="4135"/>
      <c r="D40" s="4136"/>
      <c r="E40" s="4080" t="s">
        <v>1153</v>
      </c>
      <c r="F40" s="4043" t="s">
        <v>1154</v>
      </c>
      <c r="G40" s="4043" t="s">
        <v>1155</v>
      </c>
      <c r="H40" s="4040">
        <v>10</v>
      </c>
      <c r="I40" s="4037">
        <f>ROUND(78*(1-$D$56),2)</f>
        <v>78</v>
      </c>
      <c r="J40" s="4037">
        <f>ROUND(81*(1-$D$56),2)</f>
        <v>81</v>
      </c>
      <c r="K40" s="4037" t="s">
        <v>17</v>
      </c>
      <c r="L40" s="4037" t="s">
        <v>17</v>
      </c>
      <c r="M40" s="4083">
        <f>ROUND(86*(1-$F$56),2)</f>
        <v>86</v>
      </c>
    </row>
    <row r="41" spans="1:19" ht="15" customHeight="1" x14ac:dyDescent="0.25">
      <c r="A41" s="4137"/>
      <c r="B41" s="4137"/>
      <c r="C41" s="4137"/>
      <c r="D41" s="4138"/>
      <c r="E41" s="4081"/>
      <c r="F41" s="4043"/>
      <c r="G41" s="4043"/>
      <c r="H41" s="4041"/>
      <c r="I41" s="4037"/>
      <c r="J41" s="4037"/>
      <c r="K41" s="4037"/>
      <c r="L41" s="4037"/>
      <c r="M41" s="4083"/>
    </row>
    <row r="42" spans="1:19" ht="20.25" customHeight="1" x14ac:dyDescent="0.25">
      <c r="A42" s="4137"/>
      <c r="B42" s="4137"/>
      <c r="C42" s="4137"/>
      <c r="D42" s="4138"/>
      <c r="E42" s="4082"/>
      <c r="F42" s="4043"/>
      <c r="G42" s="4043"/>
      <c r="H42" s="4041"/>
      <c r="I42" s="4037"/>
      <c r="J42" s="4037"/>
      <c r="K42" s="4037"/>
      <c r="L42" s="4037"/>
      <c r="M42" s="4083"/>
    </row>
    <row r="43" spans="1:19" ht="93.75" customHeight="1" x14ac:dyDescent="0.25">
      <c r="A43" s="4137"/>
      <c r="B43" s="4137"/>
      <c r="C43" s="4137"/>
      <c r="D43" s="4138"/>
      <c r="E43" s="1438" t="s">
        <v>2112</v>
      </c>
      <c r="F43" s="1436" t="s">
        <v>2113</v>
      </c>
      <c r="G43" s="1436" t="s">
        <v>1155</v>
      </c>
      <c r="H43" s="4041"/>
      <c r="I43" s="1437">
        <f>ROUND(80*(1-$D$56),2)</f>
        <v>80</v>
      </c>
      <c r="J43" s="1437">
        <f>ROUND(83*(1-$D$56),2)</f>
        <v>83</v>
      </c>
      <c r="K43" s="1715" t="s">
        <v>17</v>
      </c>
      <c r="L43" s="1715" t="s">
        <v>17</v>
      </c>
      <c r="M43" s="1435">
        <f>ROUND(94*(1-$F$56),2)</f>
        <v>94</v>
      </c>
    </row>
    <row r="44" spans="1:19" ht="33.75" customHeight="1" x14ac:dyDescent="0.25">
      <c r="A44" s="4137"/>
      <c r="B44" s="4137"/>
      <c r="C44" s="4137"/>
      <c r="D44" s="4138"/>
      <c r="E44" s="4132" t="s">
        <v>1156</v>
      </c>
      <c r="F44" s="4043" t="s">
        <v>1157</v>
      </c>
      <c r="G44" s="4043" t="s">
        <v>1158</v>
      </c>
      <c r="H44" s="4041"/>
      <c r="I44" s="4078">
        <f>ROUND(114*(1-$D$56),2)</f>
        <v>114</v>
      </c>
      <c r="J44" s="4079">
        <f>ROUND(117*(1-$D$56),2)</f>
        <v>117</v>
      </c>
      <c r="K44" s="4078" t="s">
        <v>17</v>
      </c>
      <c r="L44" s="4078" t="s">
        <v>17</v>
      </c>
      <c r="M44" s="4083">
        <f>ROUND(120*(1-$F$56),2)</f>
        <v>120</v>
      </c>
    </row>
    <row r="45" spans="1:19" ht="33.75" customHeight="1" x14ac:dyDescent="0.25">
      <c r="A45" s="4137"/>
      <c r="B45" s="4137"/>
      <c r="C45" s="4137"/>
      <c r="D45" s="4138"/>
      <c r="E45" s="4133"/>
      <c r="F45" s="4043"/>
      <c r="G45" s="4043"/>
      <c r="H45" s="4041"/>
      <c r="I45" s="4078"/>
      <c r="J45" s="4079"/>
      <c r="K45" s="4078"/>
      <c r="L45" s="4078"/>
      <c r="M45" s="4083"/>
    </row>
    <row r="46" spans="1:19" ht="33.75" customHeight="1" x14ac:dyDescent="0.25">
      <c r="A46" s="4137"/>
      <c r="B46" s="4137"/>
      <c r="C46" s="4137"/>
      <c r="D46" s="4138"/>
      <c r="E46" s="4134"/>
      <c r="F46" s="4043"/>
      <c r="G46" s="4043"/>
      <c r="H46" s="4041"/>
      <c r="I46" s="4078"/>
      <c r="J46" s="4079"/>
      <c r="K46" s="4078"/>
      <c r="L46" s="4078"/>
      <c r="M46" s="4083"/>
      <c r="N46" s="716"/>
    </row>
    <row r="47" spans="1:19" ht="91.5" customHeight="1" x14ac:dyDescent="0.25">
      <c r="A47" s="4137"/>
      <c r="B47" s="4137"/>
      <c r="C47" s="4137"/>
      <c r="D47" s="4138"/>
      <c r="E47" s="1713" t="s">
        <v>213</v>
      </c>
      <c r="F47" s="2220" t="s">
        <v>3226</v>
      </c>
      <c r="G47" s="1889" t="s">
        <v>2566</v>
      </c>
      <c r="H47" s="4041"/>
      <c r="I47" s="1913" t="str">
        <f>ROUND(63*(1-$D$56),2)&amp;"*"</f>
        <v>63*</v>
      </c>
      <c r="J47" s="1913" t="str">
        <f>ROUND(66*(1-$D$56),2)&amp;"*"</f>
        <v>66*</v>
      </c>
      <c r="K47" s="1715">
        <f>ROUND(86*(1-$D$56),2)</f>
        <v>86</v>
      </c>
      <c r="L47" s="1715">
        <f>ROUND(89*(1-$D$56),2)</f>
        <v>89</v>
      </c>
      <c r="M47" s="2095" t="s">
        <v>17</v>
      </c>
      <c r="N47" s="716"/>
    </row>
    <row r="48" spans="1:19" ht="86.25" customHeight="1" x14ac:dyDescent="0.25">
      <c r="A48" s="4137"/>
      <c r="B48" s="4137"/>
      <c r="C48" s="4137"/>
      <c r="D48" s="4138"/>
      <c r="E48" s="717" t="s">
        <v>1159</v>
      </c>
      <c r="F48" s="1862" t="s">
        <v>1154</v>
      </c>
      <c r="G48" s="684" t="s">
        <v>1155</v>
      </c>
      <c r="H48" s="4041"/>
      <c r="I48" s="2015">
        <f>ROUND(66*(1-$D$56),2)</f>
        <v>66</v>
      </c>
      <c r="J48" s="2015">
        <f>ROUND(69*(1-$D$56),2)</f>
        <v>69</v>
      </c>
      <c r="K48" s="1715">
        <f>ROUND(91*(1-$D$56),2)</f>
        <v>91</v>
      </c>
      <c r="L48" s="1715">
        <f>ROUND(94*(1-$D$56),2)</f>
        <v>94</v>
      </c>
      <c r="M48" s="1714" t="s">
        <v>17</v>
      </c>
      <c r="N48" s="718"/>
    </row>
    <row r="49" spans="1:14" ht="88.5" customHeight="1" x14ac:dyDescent="0.25">
      <c r="A49" s="4137"/>
      <c r="B49" s="4137"/>
      <c r="C49" s="4137"/>
      <c r="D49" s="4138"/>
      <c r="E49" s="717" t="s">
        <v>1160</v>
      </c>
      <c r="F49" s="1862" t="s">
        <v>1154</v>
      </c>
      <c r="G49" s="684" t="s">
        <v>1158</v>
      </c>
      <c r="H49" s="4041"/>
      <c r="I49" s="1517" t="s">
        <v>17</v>
      </c>
      <c r="J49" s="2022" t="s">
        <v>17</v>
      </c>
      <c r="K49" s="1518">
        <f>ROUND(185*(1-$D$56),2)</f>
        <v>185</v>
      </c>
      <c r="L49" s="1518">
        <f>ROUND(188*(1-$D$56),2)</f>
        <v>188</v>
      </c>
      <c r="M49" s="693" t="s">
        <v>17</v>
      </c>
      <c r="N49" s="718"/>
    </row>
    <row r="50" spans="1:14" ht="88.5" customHeight="1" x14ac:dyDescent="0.25">
      <c r="A50" s="4139"/>
      <c r="B50" s="4139"/>
      <c r="C50" s="4139"/>
      <c r="D50" s="4140"/>
      <c r="E50" s="2143" t="s">
        <v>164</v>
      </c>
      <c r="F50" s="2220" t="s">
        <v>3226</v>
      </c>
      <c r="G50" s="2142" t="s">
        <v>3194</v>
      </c>
      <c r="H50" s="4042"/>
      <c r="I50" s="2146">
        <f>ROUND(90*(1-$D$56),2)</f>
        <v>90</v>
      </c>
      <c r="J50" s="2146">
        <f>ROUND(93*(1-$D$56),2)</f>
        <v>93</v>
      </c>
      <c r="K50" s="2145">
        <f>ROUND(121*(1-$D$56),2)</f>
        <v>121</v>
      </c>
      <c r="L50" s="2145">
        <f>ROUND(124*(1-$D$56),2)</f>
        <v>124</v>
      </c>
      <c r="M50" s="2144"/>
      <c r="N50" s="718"/>
    </row>
    <row r="51" spans="1:14" ht="26.25" x14ac:dyDescent="0.25">
      <c r="A51" s="723" t="s">
        <v>2227</v>
      </c>
      <c r="B51" s="719"/>
      <c r="C51" s="719"/>
      <c r="D51" s="1777" t="s">
        <v>2597</v>
      </c>
      <c r="E51" s="720"/>
      <c r="F51" s="721"/>
      <c r="G51" s="722"/>
      <c r="H51" s="722"/>
      <c r="I51" s="718"/>
      <c r="J51" s="718"/>
      <c r="K51" s="718"/>
      <c r="L51" s="718"/>
      <c r="M51" s="718"/>
      <c r="N51" s="718"/>
    </row>
    <row r="52" spans="1:14" ht="26.25" x14ac:dyDescent="0.25">
      <c r="A52" s="723" t="s">
        <v>1008</v>
      </c>
      <c r="B52" s="724"/>
      <c r="C52" s="724"/>
      <c r="D52" s="725"/>
      <c r="E52" s="724"/>
      <c r="F52" s="726"/>
      <c r="G52" s="726"/>
      <c r="H52" s="726"/>
      <c r="I52" s="726"/>
      <c r="J52" s="726"/>
      <c r="K52" s="726"/>
      <c r="L52" s="726"/>
      <c r="M52" s="726"/>
      <c r="N52" s="726"/>
    </row>
    <row r="53" spans="1:14" ht="20.25" x14ac:dyDescent="0.25">
      <c r="A53" s="727"/>
      <c r="B53" s="724"/>
      <c r="C53" s="724"/>
      <c r="D53" s="724"/>
      <c r="E53" s="724"/>
      <c r="F53" s="726"/>
      <c r="G53" s="726"/>
      <c r="H53" s="726"/>
      <c r="I53" s="726"/>
      <c r="J53" s="726"/>
      <c r="K53" s="726"/>
      <c r="L53" s="726"/>
      <c r="M53" s="726"/>
      <c r="N53" s="726"/>
    </row>
    <row r="54" spans="1:14" ht="20.25" x14ac:dyDescent="0.25">
      <c r="A54" s="727"/>
      <c r="B54" s="716"/>
      <c r="C54" s="716"/>
      <c r="D54" s="716"/>
      <c r="E54" s="716"/>
      <c r="F54" s="716"/>
      <c r="G54" s="716"/>
      <c r="H54" s="716"/>
      <c r="I54" s="716"/>
      <c r="J54" s="716"/>
      <c r="K54" s="716"/>
      <c r="L54" s="716"/>
      <c r="M54" s="716"/>
      <c r="N54" s="716"/>
    </row>
    <row r="55" spans="1:14" ht="53.25" customHeight="1" x14ac:dyDescent="0.35">
      <c r="A55" s="3486" t="s">
        <v>949</v>
      </c>
      <c r="B55" s="4039" t="s">
        <v>548</v>
      </c>
      <c r="C55" s="4039"/>
      <c r="D55" s="4038" t="s">
        <v>2246</v>
      </c>
      <c r="E55" s="4038"/>
      <c r="F55" s="4038" t="s">
        <v>1161</v>
      </c>
      <c r="G55" s="4038"/>
      <c r="H55" s="4039" t="s">
        <v>1634</v>
      </c>
      <c r="I55" s="4039"/>
      <c r="J55" s="4039" t="s">
        <v>3177</v>
      </c>
      <c r="K55" s="4039"/>
      <c r="M55" s="728"/>
      <c r="N55" s="728"/>
    </row>
    <row r="56" spans="1:14" ht="54" customHeight="1" x14ac:dyDescent="0.35">
      <c r="A56" s="3486"/>
      <c r="B56" s="3740">
        <v>0</v>
      </c>
      <c r="C56" s="3740"/>
      <c r="D56" s="3740">
        <v>0</v>
      </c>
      <c r="E56" s="3740"/>
      <c r="F56" s="3740">
        <v>0</v>
      </c>
      <c r="G56" s="3740"/>
      <c r="H56" s="3740">
        <v>0</v>
      </c>
      <c r="I56" s="3740"/>
      <c r="J56" s="3740">
        <v>0</v>
      </c>
      <c r="K56" s="3740"/>
      <c r="M56" s="728"/>
      <c r="N56" s="728"/>
    </row>
    <row r="57" spans="1:14" ht="19.5" customHeight="1" x14ac:dyDescent="0.35">
      <c r="B57" s="728"/>
      <c r="D57" s="728"/>
      <c r="E57" s="728"/>
      <c r="F57" s="728"/>
      <c r="G57" s="728"/>
      <c r="H57" s="728"/>
      <c r="I57" s="728"/>
      <c r="J57" s="728"/>
      <c r="K57" s="728"/>
      <c r="L57" s="728"/>
      <c r="M57" s="728"/>
      <c r="N57" s="728"/>
    </row>
  </sheetData>
  <protectedRanges>
    <protectedRange password="CF74" sqref="C30:F30 A35:M35 C33:M34" name="Диапазон2_1_2"/>
  </protectedRanges>
  <mergeCells count="84">
    <mergeCell ref="E44:E46"/>
    <mergeCell ref="F44:F46"/>
    <mergeCell ref="G44:G46"/>
    <mergeCell ref="A40:D50"/>
    <mergeCell ref="A15:A21"/>
    <mergeCell ref="J15:M15"/>
    <mergeCell ref="B21:D21"/>
    <mergeCell ref="J21:M21"/>
    <mergeCell ref="J19:M19"/>
    <mergeCell ref="J20:M20"/>
    <mergeCell ref="B16:C20"/>
    <mergeCell ref="J16:M16"/>
    <mergeCell ref="J17:M17"/>
    <mergeCell ref="B15:D15"/>
    <mergeCell ref="B11:B12"/>
    <mergeCell ref="C11:F12"/>
    <mergeCell ref="H11:H12"/>
    <mergeCell ref="I11:I12"/>
    <mergeCell ref="J11:M11"/>
    <mergeCell ref="J12:M12"/>
    <mergeCell ref="B14:D14"/>
    <mergeCell ref="J14:M14"/>
    <mergeCell ref="H37:H39"/>
    <mergeCell ref="A34:B34"/>
    <mergeCell ref="A30:B32"/>
    <mergeCell ref="C30:M32"/>
    <mergeCell ref="J28:M28"/>
    <mergeCell ref="B28:D28"/>
    <mergeCell ref="E28:F28"/>
    <mergeCell ref="J18:M18"/>
    <mergeCell ref="D18:D20"/>
    <mergeCell ref="E37:E39"/>
    <mergeCell ref="G37:G39"/>
    <mergeCell ref="J23:M23"/>
    <mergeCell ref="E23:G23"/>
    <mergeCell ref="J22:M22"/>
    <mergeCell ref="B25:D25"/>
    <mergeCell ref="E25:F25"/>
    <mergeCell ref="J25:M25"/>
    <mergeCell ref="I44:I46"/>
    <mergeCell ref="J44:J46"/>
    <mergeCell ref="E40:E42"/>
    <mergeCell ref="M44:M46"/>
    <mergeCell ref="M40:M42"/>
    <mergeCell ref="F37:F39"/>
    <mergeCell ref="I38:J38"/>
    <mergeCell ref="K38:L38"/>
    <mergeCell ref="M38:M39"/>
    <mergeCell ref="K40:K42"/>
    <mergeCell ref="L40:L42"/>
    <mergeCell ref="K44:K46"/>
    <mergeCell ref="L44:L46"/>
    <mergeCell ref="A1:M7"/>
    <mergeCell ref="A37:D39"/>
    <mergeCell ref="B22:D22"/>
    <mergeCell ref="E22:G22"/>
    <mergeCell ref="I37:M37"/>
    <mergeCell ref="J27:M27"/>
    <mergeCell ref="A8:M8"/>
    <mergeCell ref="C10:F10"/>
    <mergeCell ref="J10:M10"/>
    <mergeCell ref="A11:A12"/>
    <mergeCell ref="B27:D27"/>
    <mergeCell ref="E27:F27"/>
    <mergeCell ref="B26:D26"/>
    <mergeCell ref="E26:F26"/>
    <mergeCell ref="J26:M26"/>
    <mergeCell ref="B23:D23"/>
    <mergeCell ref="A55:A56"/>
    <mergeCell ref="B55:C55"/>
    <mergeCell ref="B56:C56"/>
    <mergeCell ref="D55:E55"/>
    <mergeCell ref="D56:E56"/>
    <mergeCell ref="J40:J42"/>
    <mergeCell ref="F55:G55"/>
    <mergeCell ref="F56:G56"/>
    <mergeCell ref="H55:I55"/>
    <mergeCell ref="H56:I56"/>
    <mergeCell ref="H40:H50"/>
    <mergeCell ref="F40:F42"/>
    <mergeCell ref="G40:G42"/>
    <mergeCell ref="I40:I42"/>
    <mergeCell ref="J55:K55"/>
    <mergeCell ref="J56:K56"/>
  </mergeCells>
  <printOptions horizontalCentered="1"/>
  <pageMargins left="0" right="0" top="0" bottom="0" header="3.937007874015748E-2" footer="0.11811023622047245"/>
  <pageSetup paperSize="9" scale="25" orientation="portrait" r:id="rId1"/>
  <headerFooter alignWithMargins="0">
    <oddFooter>&amp;R&amp;26Стр. &amp;P из  &amp;N
&amp;A</oddFooter>
  </headerFooter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29"/>
  <dimension ref="A1:I41"/>
  <sheetViews>
    <sheetView topLeftCell="A25" zoomScale="40" zoomScaleNormal="40" zoomScaleSheetLayoutView="40" workbookViewId="0">
      <selection sqref="A1:C2"/>
    </sheetView>
  </sheetViews>
  <sheetFormatPr defaultRowHeight="20.25" x14ac:dyDescent="0.3"/>
  <cols>
    <col min="1" max="1" width="70.7109375" style="390" customWidth="1"/>
    <col min="2" max="2" width="41" style="390" customWidth="1"/>
    <col min="3" max="3" width="33" style="390" customWidth="1"/>
    <col min="4" max="4" width="28.140625" style="390" customWidth="1"/>
    <col min="5" max="5" width="27.140625" style="390" customWidth="1"/>
    <col min="6" max="6" width="29.140625" style="390" customWidth="1"/>
    <col min="7" max="7" width="41.5703125" style="390" customWidth="1"/>
    <col min="8" max="8" width="47.140625" style="390" customWidth="1"/>
    <col min="9" max="9" width="55.5703125" style="390" customWidth="1"/>
    <col min="10" max="14" width="9.140625" style="390"/>
    <col min="15" max="15" width="11.28515625" style="390" customWidth="1"/>
    <col min="16" max="16384" width="9.140625" style="390"/>
  </cols>
  <sheetData>
    <row r="1" spans="1:9" x14ac:dyDescent="0.3">
      <c r="A1" s="4141"/>
      <c r="B1" s="4141"/>
      <c r="C1" s="4141"/>
      <c r="D1" s="4141"/>
      <c r="E1" s="4141"/>
      <c r="F1" s="4141"/>
      <c r="G1" s="4141"/>
      <c r="H1" s="4141"/>
      <c r="I1" s="4141"/>
    </row>
    <row r="2" spans="1:9" ht="16.5" customHeight="1" x14ac:dyDescent="0.3">
      <c r="A2" s="4141"/>
      <c r="B2" s="4141"/>
      <c r="C2" s="4141"/>
      <c r="D2" s="4141"/>
      <c r="E2" s="4141"/>
      <c r="F2" s="4141"/>
      <c r="G2" s="4141"/>
      <c r="H2" s="4141"/>
      <c r="I2" s="4141"/>
    </row>
    <row r="3" spans="1:9" x14ac:dyDescent="0.3">
      <c r="A3" s="4141"/>
      <c r="B3" s="4141"/>
      <c r="C3" s="4141"/>
      <c r="D3" s="4141"/>
      <c r="E3" s="4141"/>
      <c r="F3" s="4141"/>
      <c r="G3" s="4141"/>
      <c r="H3" s="4141"/>
      <c r="I3" s="4141"/>
    </row>
    <row r="4" spans="1:9" ht="18" customHeight="1" x14ac:dyDescent="0.3">
      <c r="A4" s="4141"/>
      <c r="B4" s="4141"/>
      <c r="C4" s="4141"/>
      <c r="D4" s="4141"/>
      <c r="E4" s="4141"/>
      <c r="F4" s="4141"/>
      <c r="G4" s="4141"/>
      <c r="H4" s="4141"/>
      <c r="I4" s="4141"/>
    </row>
    <row r="5" spans="1:9" x14ac:dyDescent="0.3">
      <c r="A5" s="4141"/>
      <c r="B5" s="4141"/>
      <c r="C5" s="4141"/>
      <c r="D5" s="4141"/>
      <c r="E5" s="4141"/>
      <c r="F5" s="4141"/>
      <c r="G5" s="4141"/>
      <c r="H5" s="4141"/>
      <c r="I5" s="4141"/>
    </row>
    <row r="6" spans="1:9" ht="61.5" customHeight="1" thickBot="1" x14ac:dyDescent="0.35">
      <c r="A6" s="4142"/>
      <c r="B6" s="4142"/>
      <c r="C6" s="4142"/>
      <c r="D6" s="4142"/>
      <c r="E6" s="4142"/>
      <c r="F6" s="4142"/>
      <c r="G6" s="4142"/>
      <c r="H6" s="4142"/>
      <c r="I6" s="4142"/>
    </row>
    <row r="7" spans="1:9" ht="44.25" customHeight="1" x14ac:dyDescent="0.6">
      <c r="A7" s="4195" t="s">
        <v>1162</v>
      </c>
      <c r="B7" s="4195"/>
      <c r="C7" s="4195"/>
      <c r="D7" s="4195"/>
      <c r="E7" s="4195"/>
      <c r="F7" s="4195"/>
      <c r="G7" s="4195"/>
      <c r="H7" s="4195"/>
      <c r="I7" s="4195"/>
    </row>
    <row r="8" spans="1:9" ht="30" x14ac:dyDescent="0.4">
      <c r="A8" s="729"/>
      <c r="B8" s="729"/>
      <c r="C8" s="663"/>
      <c r="D8" s="730"/>
      <c r="E8" s="730"/>
      <c r="F8" s="731"/>
      <c r="G8" s="732" t="s">
        <v>68</v>
      </c>
      <c r="I8" s="733">
        <v>42095</v>
      </c>
    </row>
    <row r="9" spans="1:9" ht="52.5" customHeight="1" x14ac:dyDescent="0.3">
      <c r="A9" s="4196" t="s">
        <v>955</v>
      </c>
      <c r="B9" s="4198" t="s">
        <v>1163</v>
      </c>
      <c r="C9" s="4196" t="s">
        <v>1125</v>
      </c>
      <c r="D9" s="4197" t="s">
        <v>1147</v>
      </c>
      <c r="E9" s="4197" t="s">
        <v>800</v>
      </c>
      <c r="F9" s="4197"/>
      <c r="G9" s="4197"/>
      <c r="H9" s="4164" t="s">
        <v>1164</v>
      </c>
      <c r="I9" s="4200" t="s">
        <v>1165</v>
      </c>
    </row>
    <row r="10" spans="1:9" ht="52.5" customHeight="1" x14ac:dyDescent="0.3">
      <c r="A10" s="4197"/>
      <c r="B10" s="4199"/>
      <c r="C10" s="4197"/>
      <c r="D10" s="4197"/>
      <c r="E10" s="734">
        <v>3</v>
      </c>
      <c r="F10" s="734">
        <v>4</v>
      </c>
      <c r="G10" s="734">
        <v>6</v>
      </c>
      <c r="H10" s="4164"/>
      <c r="I10" s="4201"/>
    </row>
    <row r="11" spans="1:9" ht="303" customHeight="1" x14ac:dyDescent="0.3">
      <c r="A11" s="735"/>
      <c r="B11" s="736" t="s">
        <v>1166</v>
      </c>
      <c r="C11" s="736" t="s">
        <v>1167</v>
      </c>
      <c r="D11" s="736">
        <v>2.0299999999999998</v>
      </c>
      <c r="E11" s="736">
        <f>ROUND(60246*(1-$C$41),2)</f>
        <v>60246</v>
      </c>
      <c r="F11" s="737">
        <f>ROUND(80328*(1-$C$41),2)</f>
        <v>80328</v>
      </c>
      <c r="G11" s="737">
        <f>ROUND(141754*(1-$C$41),2)</f>
        <v>141754</v>
      </c>
      <c r="H11" s="738" t="s">
        <v>1168</v>
      </c>
      <c r="I11" s="738" t="s">
        <v>1169</v>
      </c>
    </row>
    <row r="12" spans="1:9" ht="33" x14ac:dyDescent="0.45">
      <c r="A12" s="739"/>
      <c r="B12" s="739"/>
      <c r="C12" s="739"/>
      <c r="D12" s="739"/>
      <c r="E12" s="739"/>
      <c r="F12" s="739"/>
      <c r="G12" s="739"/>
      <c r="H12" s="739"/>
      <c r="I12" s="739"/>
    </row>
    <row r="13" spans="1:9" ht="37.5" customHeight="1" x14ac:dyDescent="0.3">
      <c r="A13" s="4197" t="s">
        <v>955</v>
      </c>
      <c r="B13" s="4202" t="s">
        <v>1163</v>
      </c>
      <c r="C13" s="4203" t="s">
        <v>1125</v>
      </c>
      <c r="D13" s="4197" t="s">
        <v>1147</v>
      </c>
      <c r="E13" s="4197" t="s">
        <v>800</v>
      </c>
      <c r="F13" s="4197"/>
      <c r="G13" s="4192" t="s">
        <v>1170</v>
      </c>
      <c r="H13" s="4164" t="s">
        <v>1165</v>
      </c>
      <c r="I13" s="4164"/>
    </row>
    <row r="14" spans="1:9" ht="37.5" customHeight="1" x14ac:dyDescent="0.3">
      <c r="A14" s="4197"/>
      <c r="B14" s="4198"/>
      <c r="C14" s="4196"/>
      <c r="D14" s="4197"/>
      <c r="E14" s="734">
        <v>3.5</v>
      </c>
      <c r="F14" s="734">
        <v>4.5</v>
      </c>
      <c r="G14" s="4192"/>
      <c r="H14" s="4164"/>
      <c r="I14" s="4164"/>
    </row>
    <row r="15" spans="1:9" ht="129" customHeight="1" x14ac:dyDescent="0.3">
      <c r="A15" s="4165"/>
      <c r="B15" s="740" t="s">
        <v>1171</v>
      </c>
      <c r="C15" s="4183" t="s">
        <v>1079</v>
      </c>
      <c r="D15" s="741">
        <v>2</v>
      </c>
      <c r="E15" s="740">
        <f>ROUND(72353*(1-$C$41),2)</f>
        <v>72353</v>
      </c>
      <c r="F15" s="740">
        <f>ROUND(93026*(1-$C$41),2)</f>
        <v>93026</v>
      </c>
      <c r="G15" s="4185" t="s">
        <v>1172</v>
      </c>
      <c r="H15" s="4185" t="s">
        <v>1173</v>
      </c>
      <c r="I15" s="4186"/>
    </row>
    <row r="16" spans="1:9" ht="135" customHeight="1" x14ac:dyDescent="0.3">
      <c r="A16" s="4165"/>
      <c r="B16" s="742" t="s">
        <v>1174</v>
      </c>
      <c r="C16" s="4184"/>
      <c r="D16" s="743">
        <v>2</v>
      </c>
      <c r="E16" s="742">
        <f>ROUND(82690*(1-$C$41),2)</f>
        <v>82690</v>
      </c>
      <c r="F16" s="742">
        <f>ROUND(106315*(1-$C$41),2)</f>
        <v>106315</v>
      </c>
      <c r="G16" s="4185"/>
      <c r="H16" s="4186"/>
      <c r="I16" s="4186"/>
    </row>
    <row r="17" spans="1:9" ht="33" x14ac:dyDescent="0.45">
      <c r="A17" s="739"/>
      <c r="B17" s="739"/>
      <c r="C17" s="739"/>
      <c r="D17" s="739"/>
      <c r="E17" s="744"/>
      <c r="F17" s="745"/>
      <c r="G17" s="744"/>
      <c r="H17" s="739"/>
      <c r="I17" s="739"/>
    </row>
    <row r="18" spans="1:9" ht="92.45" customHeight="1" x14ac:dyDescent="0.3">
      <c r="A18" s="4187" t="s">
        <v>1175</v>
      </c>
      <c r="B18" s="4188"/>
      <c r="C18" s="4188"/>
      <c r="D18" s="4188"/>
      <c r="E18" s="4188"/>
      <c r="F18" s="4188"/>
      <c r="G18" s="4189"/>
      <c r="H18" s="4190" t="s">
        <v>1176</v>
      </c>
      <c r="I18" s="4191"/>
    </row>
    <row r="19" spans="1:9" ht="246" customHeight="1" x14ac:dyDescent="0.3">
      <c r="A19" s="4152" t="s">
        <v>1660</v>
      </c>
      <c r="B19" s="4153"/>
      <c r="C19" s="4153"/>
      <c r="D19" s="4153"/>
      <c r="E19" s="4153"/>
      <c r="F19" s="4153"/>
      <c r="G19" s="4154"/>
      <c r="H19" s="4193">
        <f>ROUND(31432*(1-$C$41),2)</f>
        <v>31432</v>
      </c>
      <c r="I19" s="4194"/>
    </row>
    <row r="20" spans="1:9" ht="33.75" x14ac:dyDescent="0.3">
      <c r="A20" s="4149" t="s">
        <v>1177</v>
      </c>
      <c r="B20" s="4150"/>
      <c r="C20" s="4150"/>
      <c r="D20" s="4150"/>
      <c r="E20" s="4150"/>
      <c r="F20" s="4150"/>
      <c r="G20" s="4150"/>
      <c r="H20" s="4150"/>
      <c r="I20" s="4151"/>
    </row>
    <row r="21" spans="1:9" ht="207" customHeight="1" x14ac:dyDescent="0.3">
      <c r="A21" s="4152" t="s">
        <v>1661</v>
      </c>
      <c r="B21" s="4153"/>
      <c r="C21" s="4153"/>
      <c r="D21" s="4153"/>
      <c r="E21" s="4153"/>
      <c r="F21" s="4153"/>
      <c r="G21" s="4154"/>
      <c r="H21" s="4155">
        <f>ROUND(14904*(1-$C$41),2)</f>
        <v>14904</v>
      </c>
      <c r="I21" s="4156"/>
    </row>
    <row r="22" spans="1:9" ht="63" customHeight="1" x14ac:dyDescent="0.3">
      <c r="A22" s="4161" t="s">
        <v>1178</v>
      </c>
      <c r="B22" s="4162"/>
      <c r="C22" s="4162"/>
      <c r="D22" s="4162"/>
      <c r="E22" s="4162"/>
      <c r="F22" s="4162"/>
      <c r="G22" s="4162"/>
      <c r="H22" s="4162"/>
      <c r="I22" s="4163"/>
    </row>
    <row r="23" spans="1:9" ht="33" x14ac:dyDescent="0.3">
      <c r="A23" s="4176" t="s">
        <v>3066</v>
      </c>
      <c r="B23" s="4177"/>
      <c r="C23" s="4178" t="s">
        <v>1179</v>
      </c>
      <c r="D23" s="4179" t="s">
        <v>802</v>
      </c>
      <c r="E23" s="4179"/>
      <c r="F23" s="4179"/>
      <c r="G23" s="4180" t="s">
        <v>1180</v>
      </c>
      <c r="H23" s="4181"/>
      <c r="I23" s="4157">
        <f>ROUND(11230*(1-$C$41),2)</f>
        <v>11230</v>
      </c>
    </row>
    <row r="24" spans="1:9" ht="33" x14ac:dyDescent="0.3">
      <c r="A24" s="4176"/>
      <c r="B24" s="4177"/>
      <c r="C24" s="4178"/>
      <c r="D24" s="4158" t="s">
        <v>1181</v>
      </c>
      <c r="E24" s="4158"/>
      <c r="F24" s="4158"/>
      <c r="G24" s="4159" t="s">
        <v>1182</v>
      </c>
      <c r="H24" s="4160"/>
      <c r="I24" s="4157"/>
    </row>
    <row r="25" spans="1:9" ht="32.25" customHeight="1" x14ac:dyDescent="0.3">
      <c r="A25" s="4176"/>
      <c r="B25" s="4177"/>
      <c r="C25" s="4178"/>
      <c r="D25" s="4158" t="s">
        <v>1183</v>
      </c>
      <c r="E25" s="4158"/>
      <c r="F25" s="4158"/>
      <c r="G25" s="4159" t="s">
        <v>1184</v>
      </c>
      <c r="H25" s="4160"/>
      <c r="I25" s="4157"/>
    </row>
    <row r="26" spans="1:9" ht="33" x14ac:dyDescent="0.3">
      <c r="A26" s="4176"/>
      <c r="B26" s="4177"/>
      <c r="C26" s="4178"/>
      <c r="D26" s="4159" t="s">
        <v>1185</v>
      </c>
      <c r="E26" s="4182"/>
      <c r="F26" s="4160"/>
      <c r="G26" s="4159" t="s">
        <v>1186</v>
      </c>
      <c r="H26" s="4160"/>
      <c r="I26" s="4157"/>
    </row>
    <row r="27" spans="1:9" ht="33" x14ac:dyDescent="0.3">
      <c r="A27" s="4176"/>
      <c r="B27" s="4177"/>
      <c r="C27" s="4178"/>
      <c r="D27" s="4159" t="s">
        <v>1187</v>
      </c>
      <c r="E27" s="4182"/>
      <c r="F27" s="4160"/>
      <c r="G27" s="4159" t="s">
        <v>1188</v>
      </c>
      <c r="H27" s="4160"/>
      <c r="I27" s="4157"/>
    </row>
    <row r="28" spans="1:9" ht="33" x14ac:dyDescent="0.3">
      <c r="A28" s="4176"/>
      <c r="B28" s="4177"/>
      <c r="C28" s="4178"/>
      <c r="D28" s="4170" t="s">
        <v>1189</v>
      </c>
      <c r="E28" s="4171"/>
      <c r="F28" s="4172"/>
      <c r="G28" s="4170" t="s">
        <v>1188</v>
      </c>
      <c r="H28" s="4172"/>
      <c r="I28" s="4157"/>
    </row>
    <row r="29" spans="1:9" ht="33.75" x14ac:dyDescent="0.5">
      <c r="A29" s="4173" t="s">
        <v>1190</v>
      </c>
      <c r="B29" s="4174"/>
      <c r="C29" s="4174"/>
      <c r="D29" s="4174"/>
      <c r="E29" s="4174"/>
      <c r="F29" s="4174"/>
      <c r="G29" s="4174"/>
      <c r="H29" s="4175"/>
      <c r="I29" s="746" t="s">
        <v>276</v>
      </c>
    </row>
    <row r="30" spans="1:9" ht="33" x14ac:dyDescent="0.45">
      <c r="A30" s="4143" t="s">
        <v>3393</v>
      </c>
      <c r="B30" s="4144"/>
      <c r="C30" s="4144"/>
      <c r="D30" s="4144"/>
      <c r="E30" s="4144"/>
      <c r="F30" s="4144"/>
      <c r="G30" s="4144"/>
      <c r="H30" s="4145"/>
      <c r="I30" s="747">
        <f>ROUND(5995*(1-$C$41),2)</f>
        <v>5995</v>
      </c>
    </row>
    <row r="31" spans="1:9" ht="33" x14ac:dyDescent="0.45">
      <c r="A31" s="4143" t="s">
        <v>1191</v>
      </c>
      <c r="B31" s="4144"/>
      <c r="C31" s="4144"/>
      <c r="D31" s="4144"/>
      <c r="E31" s="4144"/>
      <c r="F31" s="4144"/>
      <c r="G31" s="4144"/>
      <c r="H31" s="4145"/>
      <c r="I31" s="747">
        <f>ROUND(3465*(1-$C$41),2)</f>
        <v>3465</v>
      </c>
    </row>
    <row r="32" spans="1:9" ht="33" x14ac:dyDescent="0.45">
      <c r="A32" s="4143" t="s">
        <v>1192</v>
      </c>
      <c r="B32" s="4144"/>
      <c r="C32" s="4144"/>
      <c r="D32" s="4144"/>
      <c r="E32" s="4144"/>
      <c r="F32" s="4144"/>
      <c r="G32" s="4144"/>
      <c r="H32" s="4145"/>
      <c r="I32" s="747">
        <f>ROUND(6610*(1-$C$41),2)</f>
        <v>6610</v>
      </c>
    </row>
    <row r="33" spans="1:9" ht="33" x14ac:dyDescent="0.45">
      <c r="A33" s="4143" t="s">
        <v>1193</v>
      </c>
      <c r="B33" s="4144"/>
      <c r="C33" s="4144"/>
      <c r="D33" s="4144"/>
      <c r="E33" s="4144"/>
      <c r="F33" s="4144"/>
      <c r="G33" s="4144"/>
      <c r="H33" s="4145"/>
      <c r="I33" s="747">
        <f>ROUND(3775*(1-$C$41),2)</f>
        <v>3775</v>
      </c>
    </row>
    <row r="34" spans="1:9" ht="33" x14ac:dyDescent="0.45">
      <c r="A34" s="4146" t="s">
        <v>1194</v>
      </c>
      <c r="B34" s="4147"/>
      <c r="C34" s="4147"/>
      <c r="D34" s="4147"/>
      <c r="E34" s="4147"/>
      <c r="F34" s="4147"/>
      <c r="G34" s="4147"/>
      <c r="H34" s="4148"/>
      <c r="I34" s="748">
        <f>ROUND(470*(1-$C$41),2)</f>
        <v>470</v>
      </c>
    </row>
    <row r="35" spans="1:9" ht="30" x14ac:dyDescent="0.4">
      <c r="A35" s="749"/>
      <c r="B35" s="749"/>
      <c r="C35" s="749"/>
      <c r="D35" s="749"/>
      <c r="E35" s="749"/>
      <c r="F35" s="749"/>
      <c r="G35" s="749"/>
    </row>
    <row r="36" spans="1:9" ht="30" x14ac:dyDescent="0.4">
      <c r="A36" s="901" t="s">
        <v>1008</v>
      </c>
      <c r="B36" s="749"/>
      <c r="C36" s="749"/>
      <c r="D36" s="749"/>
      <c r="E36" s="749"/>
      <c r="F36" s="749"/>
      <c r="G36" s="749"/>
    </row>
    <row r="37" spans="1:9" ht="30" x14ac:dyDescent="0.4">
      <c r="A37" s="749"/>
      <c r="B37" s="749"/>
      <c r="C37" s="749"/>
      <c r="D37" s="749"/>
      <c r="E37" s="749"/>
      <c r="F37" s="749"/>
      <c r="G37" s="749"/>
    </row>
    <row r="38" spans="1:9" ht="30" x14ac:dyDescent="0.4">
      <c r="B38" s="751"/>
      <c r="C38" s="751"/>
      <c r="D38" s="751"/>
      <c r="E38" s="751"/>
      <c r="F38" s="751"/>
      <c r="G38" s="730"/>
      <c r="H38" s="730"/>
    </row>
    <row r="39" spans="1:9" ht="30" x14ac:dyDescent="0.4">
      <c r="B39" s="751"/>
      <c r="C39" s="751"/>
      <c r="D39" s="751"/>
      <c r="E39" s="751"/>
      <c r="F39" s="751"/>
      <c r="G39" s="730"/>
      <c r="H39" s="730"/>
    </row>
    <row r="40" spans="1:9" ht="30" x14ac:dyDescent="0.3">
      <c r="A40" s="368"/>
      <c r="B40" s="752"/>
      <c r="C40" s="752"/>
      <c r="D40" s="752"/>
      <c r="E40" s="752"/>
      <c r="F40" s="752"/>
      <c r="G40" s="752"/>
      <c r="H40" s="752"/>
    </row>
    <row r="41" spans="1:9" ht="45" x14ac:dyDescent="0.3">
      <c r="A41" s="4166" t="s">
        <v>949</v>
      </c>
      <c r="B41" s="4167"/>
      <c r="C41" s="4168">
        <v>0</v>
      </c>
      <c r="D41" s="4169"/>
      <c r="F41" s="752"/>
      <c r="G41" s="752"/>
      <c r="H41" s="305"/>
    </row>
  </sheetData>
  <mergeCells count="52">
    <mergeCell ref="G13:G14"/>
    <mergeCell ref="A19:G19"/>
    <mergeCell ref="H19:I19"/>
    <mergeCell ref="A7:I7"/>
    <mergeCell ref="A9:A10"/>
    <mergeCell ref="B9:B10"/>
    <mergeCell ref="C9:C10"/>
    <mergeCell ref="D9:D10"/>
    <mergeCell ref="E9:G9"/>
    <mergeCell ref="H9:H10"/>
    <mergeCell ref="I9:I10"/>
    <mergeCell ref="A13:A14"/>
    <mergeCell ref="B13:B14"/>
    <mergeCell ref="C13:C14"/>
    <mergeCell ref="D13:D14"/>
    <mergeCell ref="E13:F13"/>
    <mergeCell ref="C15:C16"/>
    <mergeCell ref="G15:G16"/>
    <mergeCell ref="H15:I16"/>
    <mergeCell ref="A18:G18"/>
    <mergeCell ref="H18:I18"/>
    <mergeCell ref="A41:B41"/>
    <mergeCell ref="C41:D41"/>
    <mergeCell ref="G27:H27"/>
    <mergeCell ref="D28:F28"/>
    <mergeCell ref="G28:H28"/>
    <mergeCell ref="A29:H29"/>
    <mergeCell ref="A30:H30"/>
    <mergeCell ref="A23:A28"/>
    <mergeCell ref="B23:B28"/>
    <mergeCell ref="C23:C28"/>
    <mergeCell ref="D23:F23"/>
    <mergeCell ref="G23:H23"/>
    <mergeCell ref="D26:F26"/>
    <mergeCell ref="G26:H26"/>
    <mergeCell ref="D27:F27"/>
    <mergeCell ref="A1:I6"/>
    <mergeCell ref="A31:H31"/>
    <mergeCell ref="A32:H32"/>
    <mergeCell ref="A33:H33"/>
    <mergeCell ref="A34:H34"/>
    <mergeCell ref="A20:I20"/>
    <mergeCell ref="A21:G21"/>
    <mergeCell ref="H21:I21"/>
    <mergeCell ref="I23:I28"/>
    <mergeCell ref="D24:F24"/>
    <mergeCell ref="G24:H24"/>
    <mergeCell ref="D25:F25"/>
    <mergeCell ref="G25:H25"/>
    <mergeCell ref="A22:I22"/>
    <mergeCell ref="H13:I14"/>
    <mergeCell ref="A15:A16"/>
  </mergeCells>
  <printOptions horizontalCentered="1"/>
  <pageMargins left="0.31496062992125984" right="3.937007874015748E-2" top="0" bottom="0" header="0" footer="0"/>
  <pageSetup paperSize="9" scale="25" orientation="portrait" r:id="rId1"/>
  <headerFooter alignWithMargins="0">
    <oddFooter>&amp;R&amp;26Стр. &amp;P из  &amp;N
&amp;A</oddFooter>
  </headerFooter>
  <drawing r:id="rId2"/>
  <legacyDrawing r:id="rId3"/>
  <oleObjects>
    <mc:AlternateContent xmlns:mc="http://schemas.openxmlformats.org/markup-compatibility/2006">
      <mc:Choice Requires="x14">
        <oleObject progId="CorelDRAW.Graphic.13" shapeId="2049" r:id="rId4">
          <objectPr defaultSize="0" autoPict="0" r:id="rId5">
            <anchor moveWithCells="1" sizeWithCells="1">
              <from>
                <xdr:col>5</xdr:col>
                <xdr:colOff>333375</xdr:colOff>
                <xdr:row>4</xdr:row>
                <xdr:rowOff>123825</xdr:rowOff>
              </from>
              <to>
                <xdr:col>5</xdr:col>
                <xdr:colOff>390525</xdr:colOff>
                <xdr:row>4</xdr:row>
                <xdr:rowOff>190500</xdr:rowOff>
              </to>
            </anchor>
          </objectPr>
        </oleObject>
      </mc:Choice>
      <mc:Fallback>
        <oleObject progId="CorelDRAW.Graphic.13" shapeId="2049" r:id="rId4"/>
      </mc:Fallback>
    </mc:AlternateContent>
    <mc:AlternateContent xmlns:mc="http://schemas.openxmlformats.org/markup-compatibility/2006">
      <mc:Choice Requires="x14">
        <oleObject progId="CorelDRAW.Graphic.13" shapeId="2050" r:id="rId6">
          <objectPr defaultSize="0" autoPict="0" r:id="rId5">
            <anchor moveWithCells="1" sizeWithCells="1">
              <from>
                <xdr:col>7</xdr:col>
                <xdr:colOff>1295400</xdr:colOff>
                <xdr:row>4</xdr:row>
                <xdr:rowOff>123825</xdr:rowOff>
              </from>
              <to>
                <xdr:col>7</xdr:col>
                <xdr:colOff>1295400</xdr:colOff>
                <xdr:row>4</xdr:row>
                <xdr:rowOff>190500</xdr:rowOff>
              </to>
            </anchor>
          </objectPr>
        </oleObject>
      </mc:Choice>
      <mc:Fallback>
        <oleObject progId="CorelDRAW.Graphic.13" shapeId="2050" r:id="rId6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0"/>
  <dimension ref="A1:N73"/>
  <sheetViews>
    <sheetView zoomScale="40" zoomScaleNormal="40" zoomScaleSheetLayoutView="40" workbookViewId="0">
      <selection sqref="A1:C2"/>
    </sheetView>
  </sheetViews>
  <sheetFormatPr defaultRowHeight="18" x14ac:dyDescent="0.25"/>
  <cols>
    <col min="1" max="1" width="65.7109375" style="753" customWidth="1"/>
    <col min="2" max="3" width="37.7109375" style="753" customWidth="1"/>
    <col min="4" max="4" width="44.7109375" style="753" customWidth="1"/>
    <col min="5" max="5" width="75" style="753" customWidth="1"/>
    <col min="6" max="8" width="19.28515625" style="753" customWidth="1"/>
    <col min="9" max="9" width="21.42578125" style="753" customWidth="1"/>
    <col min="10" max="16384" width="9.140625" style="396"/>
  </cols>
  <sheetData>
    <row r="1" spans="1:14" ht="18" customHeight="1" x14ac:dyDescent="0.2">
      <c r="A1" s="4204"/>
      <c r="B1" s="4204"/>
      <c r="C1" s="4204"/>
      <c r="D1" s="4204"/>
      <c r="E1" s="4204"/>
      <c r="F1" s="4204"/>
      <c r="G1" s="4204"/>
      <c r="H1" s="4204"/>
      <c r="I1" s="4204"/>
    </row>
    <row r="2" spans="1:14" ht="16.5" customHeight="1" x14ac:dyDescent="0.2">
      <c r="A2" s="4204"/>
      <c r="B2" s="4204"/>
      <c r="C2" s="4204"/>
      <c r="D2" s="4204"/>
      <c r="E2" s="4204"/>
      <c r="F2" s="4204"/>
      <c r="G2" s="4204"/>
      <c r="H2" s="4204"/>
      <c r="I2" s="4204"/>
    </row>
    <row r="3" spans="1:14" ht="18" customHeight="1" x14ac:dyDescent="0.2">
      <c r="A3" s="4204"/>
      <c r="B3" s="4204"/>
      <c r="C3" s="4204"/>
      <c r="D3" s="4204"/>
      <c r="E3" s="4204"/>
      <c r="F3" s="4204"/>
      <c r="G3" s="4204"/>
      <c r="H3" s="4204"/>
      <c r="I3" s="4204"/>
    </row>
    <row r="4" spans="1:14" ht="18" customHeight="1" x14ac:dyDescent="0.2">
      <c r="A4" s="4204"/>
      <c r="B4" s="4204"/>
      <c r="C4" s="4204"/>
      <c r="D4" s="4204"/>
      <c r="E4" s="4204"/>
      <c r="F4" s="4204"/>
      <c r="G4" s="4204"/>
      <c r="H4" s="4204"/>
      <c r="I4" s="4204"/>
    </row>
    <row r="5" spans="1:14" ht="18" customHeight="1" x14ac:dyDescent="0.2">
      <c r="A5" s="4204"/>
      <c r="B5" s="4204"/>
      <c r="C5" s="4204"/>
      <c r="D5" s="4204"/>
      <c r="E5" s="4204"/>
      <c r="F5" s="4204"/>
      <c r="G5" s="4204"/>
      <c r="H5" s="4204"/>
      <c r="I5" s="4204"/>
    </row>
    <row r="6" spans="1:14" ht="39" customHeight="1" thickBot="1" x14ac:dyDescent="0.25">
      <c r="A6" s="4205"/>
      <c r="B6" s="4205"/>
      <c r="C6" s="4205"/>
      <c r="D6" s="4205"/>
      <c r="E6" s="4205"/>
      <c r="F6" s="4205"/>
      <c r="G6" s="4205"/>
      <c r="H6" s="4205"/>
      <c r="I6" s="4205"/>
    </row>
    <row r="7" spans="1:14" ht="40.5" customHeight="1" x14ac:dyDescent="0.2">
      <c r="A7" s="4302" t="s">
        <v>1195</v>
      </c>
      <c r="B7" s="4302"/>
      <c r="C7" s="4302"/>
      <c r="D7" s="4302"/>
      <c r="E7" s="4302"/>
      <c r="F7" s="4302"/>
      <c r="G7" s="4302"/>
      <c r="H7" s="4302"/>
      <c r="I7" s="4302"/>
    </row>
    <row r="8" spans="1:14" ht="25.5" customHeight="1" x14ac:dyDescent="0.35">
      <c r="A8" s="4303"/>
      <c r="B8" s="4303"/>
      <c r="C8" s="754"/>
      <c r="F8" s="154" t="s">
        <v>3171</v>
      </c>
    </row>
    <row r="9" spans="1:14" ht="30" customHeight="1" x14ac:dyDescent="0.2">
      <c r="A9" s="1556" t="s">
        <v>702</v>
      </c>
      <c r="B9" s="1557" t="s">
        <v>399</v>
      </c>
      <c r="C9" s="1557" t="s">
        <v>1125</v>
      </c>
      <c r="D9" s="1556" t="s">
        <v>1147</v>
      </c>
      <c r="E9" s="1556" t="s">
        <v>957</v>
      </c>
      <c r="F9" s="4221" t="s">
        <v>2316</v>
      </c>
      <c r="G9" s="4222"/>
      <c r="H9" s="4222"/>
      <c r="I9" s="4223"/>
    </row>
    <row r="10" spans="1:14" ht="60" customHeight="1" x14ac:dyDescent="0.2">
      <c r="A10" s="4227"/>
      <c r="B10" s="4209" t="s">
        <v>1196</v>
      </c>
      <c r="C10" s="4304" t="s">
        <v>1167</v>
      </c>
      <c r="D10" s="755">
        <v>1.03</v>
      </c>
      <c r="E10" s="755" t="s">
        <v>1022</v>
      </c>
      <c r="F10" s="4274">
        <f>ROUND(13101*(1-$G$72),2)</f>
        <v>13101</v>
      </c>
      <c r="G10" s="4275"/>
      <c r="H10" s="4275"/>
      <c r="I10" s="4276"/>
      <c r="J10" s="384"/>
      <c r="K10" s="384"/>
      <c r="L10" s="384"/>
      <c r="M10" s="384"/>
      <c r="N10" s="384"/>
    </row>
    <row r="11" spans="1:14" ht="60" customHeight="1" x14ac:dyDescent="0.2">
      <c r="A11" s="4228"/>
      <c r="B11" s="4210"/>
      <c r="C11" s="4305"/>
      <c r="D11" s="756">
        <v>1.53</v>
      </c>
      <c r="E11" s="756" t="s">
        <v>1022</v>
      </c>
      <c r="F11" s="4215">
        <f>ROUND(14640*(1-$G$72),2)</f>
        <v>14640</v>
      </c>
      <c r="G11" s="4216"/>
      <c r="H11" s="4216"/>
      <c r="I11" s="4217"/>
      <c r="J11" s="384"/>
      <c r="K11" s="384"/>
      <c r="L11" s="384"/>
      <c r="M11" s="384"/>
      <c r="N11" s="384"/>
    </row>
    <row r="12" spans="1:14" ht="60" customHeight="1" x14ac:dyDescent="0.2">
      <c r="A12" s="4228"/>
      <c r="B12" s="4210"/>
      <c r="C12" s="4305"/>
      <c r="D12" s="757">
        <v>1.73</v>
      </c>
      <c r="E12" s="757" t="s">
        <v>1022</v>
      </c>
      <c r="F12" s="4215">
        <f>ROUND(16761*(1-$G$72),2)</f>
        <v>16761</v>
      </c>
      <c r="G12" s="4216"/>
      <c r="H12" s="4216"/>
      <c r="I12" s="4217"/>
      <c r="J12" s="384"/>
      <c r="K12" s="384"/>
      <c r="L12" s="384"/>
      <c r="M12" s="384"/>
      <c r="N12" s="384"/>
    </row>
    <row r="13" spans="1:14" ht="60" customHeight="1" x14ac:dyDescent="0.2">
      <c r="A13" s="4228"/>
      <c r="B13" s="4210"/>
      <c r="C13" s="4305"/>
      <c r="D13" s="757">
        <v>2.0299999999999998</v>
      </c>
      <c r="E13" s="757" t="s">
        <v>1020</v>
      </c>
      <c r="F13" s="4215">
        <f>ROUND(19544*(1-$G$72),2)</f>
        <v>19544</v>
      </c>
      <c r="G13" s="4216"/>
      <c r="H13" s="4216"/>
      <c r="I13" s="4217"/>
      <c r="J13" s="384"/>
      <c r="K13" s="384"/>
      <c r="L13" s="384"/>
      <c r="M13" s="384"/>
      <c r="N13" s="384"/>
    </row>
    <row r="14" spans="1:14" ht="60" customHeight="1" x14ac:dyDescent="0.2">
      <c r="A14" s="4229"/>
      <c r="B14" s="4230"/>
      <c r="C14" s="4306"/>
      <c r="D14" s="758">
        <v>2.4300000000000002</v>
      </c>
      <c r="E14" s="758" t="s">
        <v>1022</v>
      </c>
      <c r="F14" s="4242">
        <f>ROUND(22328*(1-$G$72),2)</f>
        <v>22328</v>
      </c>
      <c r="G14" s="4243"/>
      <c r="H14" s="4243"/>
      <c r="I14" s="4244"/>
      <c r="J14" s="384"/>
      <c r="K14" s="384"/>
      <c r="L14" s="384"/>
      <c r="M14" s="384"/>
      <c r="N14" s="384"/>
    </row>
    <row r="15" spans="1:14" ht="20.25" customHeight="1" x14ac:dyDescent="0.3">
      <c r="A15" s="759"/>
      <c r="B15" s="760"/>
      <c r="C15" s="761"/>
      <c r="D15" s="760"/>
      <c r="E15" s="760"/>
      <c r="F15" s="760"/>
      <c r="G15" s="760"/>
      <c r="H15" s="760"/>
      <c r="I15" s="760"/>
      <c r="J15" s="384"/>
      <c r="K15" s="384"/>
      <c r="L15" s="384"/>
      <c r="M15" s="384"/>
      <c r="N15" s="384"/>
    </row>
    <row r="16" spans="1:14" ht="30" x14ac:dyDescent="0.2">
      <c r="A16" s="1556" t="s">
        <v>702</v>
      </c>
      <c r="B16" s="1557" t="s">
        <v>399</v>
      </c>
      <c r="C16" s="1557" t="s">
        <v>1125</v>
      </c>
      <c r="D16" s="1556" t="s">
        <v>1147</v>
      </c>
      <c r="E16" s="1556" t="s">
        <v>957</v>
      </c>
      <c r="F16" s="4221" t="s">
        <v>2315</v>
      </c>
      <c r="G16" s="4222"/>
      <c r="H16" s="4222"/>
      <c r="I16" s="4223"/>
      <c r="J16" s="384"/>
      <c r="K16" s="384"/>
      <c r="L16" s="384"/>
      <c r="M16" s="384"/>
      <c r="N16" s="384"/>
    </row>
    <row r="17" spans="1:14" ht="50.25" customHeight="1" x14ac:dyDescent="0.2">
      <c r="A17" s="4307"/>
      <c r="B17" s="4209" t="s">
        <v>1197</v>
      </c>
      <c r="C17" s="4304" t="s">
        <v>1167</v>
      </c>
      <c r="D17" s="762">
        <v>1.53</v>
      </c>
      <c r="E17" s="762" t="s">
        <v>1022</v>
      </c>
      <c r="F17" s="4310">
        <f>ROUND(31389*(1-$G$72),2)</f>
        <v>31389</v>
      </c>
      <c r="G17" s="4311"/>
      <c r="H17" s="4311"/>
      <c r="I17" s="4312"/>
      <c r="J17" s="384"/>
      <c r="K17" s="384"/>
      <c r="L17" s="384"/>
      <c r="M17" s="384"/>
      <c r="N17" s="384"/>
    </row>
    <row r="18" spans="1:14" ht="56.25" customHeight="1" x14ac:dyDescent="0.2">
      <c r="A18" s="4308"/>
      <c r="B18" s="4210"/>
      <c r="C18" s="4305"/>
      <c r="D18" s="757">
        <v>1.73</v>
      </c>
      <c r="E18" s="757" t="s">
        <v>1022</v>
      </c>
      <c r="F18" s="4310">
        <f>ROUND(36127*(1-$G$72),2)</f>
        <v>36127</v>
      </c>
      <c r="G18" s="4311"/>
      <c r="H18" s="4311"/>
      <c r="I18" s="4312"/>
      <c r="J18" s="384"/>
      <c r="K18" s="384"/>
      <c r="L18" s="384"/>
      <c r="M18" s="384"/>
      <c r="N18" s="384"/>
    </row>
    <row r="19" spans="1:14" ht="57.75" customHeight="1" x14ac:dyDescent="0.2">
      <c r="A19" s="4308"/>
      <c r="B19" s="4210"/>
      <c r="C19" s="4305"/>
      <c r="D19" s="757">
        <v>2.0299999999999998</v>
      </c>
      <c r="E19" s="757" t="s">
        <v>1020</v>
      </c>
      <c r="F19" s="4310">
        <f>ROUND(40273*(1-$G$72),2)</f>
        <v>40273</v>
      </c>
      <c r="G19" s="4311"/>
      <c r="H19" s="4311"/>
      <c r="I19" s="4312"/>
      <c r="J19" s="384"/>
      <c r="K19" s="384"/>
      <c r="L19" s="384"/>
      <c r="M19" s="384"/>
      <c r="N19" s="384"/>
    </row>
    <row r="20" spans="1:14" ht="57.75" customHeight="1" x14ac:dyDescent="0.2">
      <c r="A20" s="4309"/>
      <c r="B20" s="4230"/>
      <c r="C20" s="4306"/>
      <c r="D20" s="758">
        <v>2.4300000000000002</v>
      </c>
      <c r="E20" s="758" t="s">
        <v>1022</v>
      </c>
      <c r="F20" s="4310" t="s">
        <v>17</v>
      </c>
      <c r="G20" s="4311"/>
      <c r="H20" s="4311"/>
      <c r="I20" s="4312"/>
      <c r="J20" s="384"/>
      <c r="K20" s="384"/>
      <c r="L20" s="384"/>
      <c r="M20" s="384"/>
      <c r="N20" s="384"/>
    </row>
    <row r="21" spans="1:14" ht="20.25" customHeight="1" x14ac:dyDescent="0.3">
      <c r="A21" s="1555"/>
      <c r="B21" s="761"/>
      <c r="C21" s="761"/>
      <c r="D21" s="760"/>
      <c r="E21" s="760"/>
      <c r="F21" s="760"/>
      <c r="G21" s="760"/>
      <c r="H21" s="760"/>
      <c r="I21" s="760"/>
      <c r="J21" s="384"/>
      <c r="K21" s="384"/>
      <c r="L21" s="384"/>
      <c r="M21" s="384"/>
      <c r="N21" s="384"/>
    </row>
    <row r="22" spans="1:14" ht="30" customHeight="1" x14ac:dyDescent="0.2">
      <c r="A22" s="2327" t="s">
        <v>399</v>
      </c>
      <c r="B22" s="4284" t="s">
        <v>3394</v>
      </c>
      <c r="C22" s="4284"/>
      <c r="D22" s="2326" t="s">
        <v>1199</v>
      </c>
      <c r="E22" s="2325" t="s">
        <v>3395</v>
      </c>
      <c r="F22" s="4283" t="s">
        <v>1199</v>
      </c>
      <c r="G22" s="4283"/>
      <c r="H22" s="4283"/>
      <c r="I22" s="4283"/>
      <c r="J22" s="2329"/>
      <c r="K22" s="2330"/>
      <c r="L22" s="2331"/>
    </row>
    <row r="23" spans="1:14" ht="43.5" customHeight="1" x14ac:dyDescent="0.2">
      <c r="A23" s="4272" t="s">
        <v>3398</v>
      </c>
      <c r="B23" s="4286" t="s">
        <v>3399</v>
      </c>
      <c r="C23" s="4287"/>
      <c r="D23" s="4272">
        <f>ROUND(52280*(1-$G$72),2)</f>
        <v>52280</v>
      </c>
      <c r="E23" s="2328" t="s">
        <v>3396</v>
      </c>
      <c r="F23" s="4280">
        <f>ROUND(5995*(1-$G$72),2)</f>
        <v>5995</v>
      </c>
      <c r="G23" s="4281"/>
      <c r="H23" s="4281"/>
      <c r="I23" s="4282"/>
      <c r="J23" s="2332"/>
      <c r="K23" s="2332"/>
      <c r="L23" s="2332"/>
      <c r="M23" s="384"/>
      <c r="N23" s="384"/>
    </row>
    <row r="24" spans="1:14" ht="47.25" customHeight="1" x14ac:dyDescent="0.2">
      <c r="A24" s="4285"/>
      <c r="B24" s="4288"/>
      <c r="C24" s="4289"/>
      <c r="D24" s="4285"/>
      <c r="E24" s="2328" t="s">
        <v>1191</v>
      </c>
      <c r="F24" s="4280">
        <f>ROUND(40273*(1-$G$72),2)</f>
        <v>40273</v>
      </c>
      <c r="G24" s="4281"/>
      <c r="H24" s="4281"/>
      <c r="I24" s="4282"/>
      <c r="J24" s="384"/>
      <c r="K24" s="384"/>
      <c r="L24" s="384"/>
      <c r="M24" s="384"/>
      <c r="N24" s="384"/>
    </row>
    <row r="25" spans="1:14" ht="45.75" customHeight="1" x14ac:dyDescent="0.2">
      <c r="A25" s="4285"/>
      <c r="B25" s="4288"/>
      <c r="C25" s="4289"/>
      <c r="D25" s="4285"/>
      <c r="E25" s="2328" t="s">
        <v>3397</v>
      </c>
      <c r="F25" s="4280">
        <f>ROUND(40273*(1-$G$72),2)</f>
        <v>40273</v>
      </c>
      <c r="G25" s="4281"/>
      <c r="H25" s="4281"/>
      <c r="I25" s="4282"/>
      <c r="J25" s="384"/>
      <c r="K25" s="384"/>
      <c r="L25" s="384"/>
      <c r="M25" s="384"/>
      <c r="N25" s="384"/>
    </row>
    <row r="26" spans="1:14" ht="47.25" customHeight="1" x14ac:dyDescent="0.2">
      <c r="A26" s="4273"/>
      <c r="B26" s="4290"/>
      <c r="C26" s="4291"/>
      <c r="D26" s="4273"/>
      <c r="E26" s="2328" t="s">
        <v>1193</v>
      </c>
      <c r="F26" s="4280">
        <f>ROUND(40273*(1-$G$72),2)</f>
        <v>40273</v>
      </c>
      <c r="G26" s="4281"/>
      <c r="H26" s="4281"/>
      <c r="I26" s="4282"/>
      <c r="J26" s="384"/>
      <c r="K26" s="384"/>
      <c r="L26" s="384"/>
      <c r="M26" s="384"/>
      <c r="N26" s="384"/>
    </row>
    <row r="27" spans="1:14" ht="20.25" customHeight="1" x14ac:dyDescent="0.3">
      <c r="A27" s="2265"/>
      <c r="B27" s="761"/>
      <c r="C27" s="761"/>
      <c r="D27" s="760"/>
      <c r="E27" s="760"/>
      <c r="F27" s="760"/>
      <c r="G27" s="760"/>
      <c r="H27" s="760"/>
      <c r="I27" s="760"/>
      <c r="J27" s="384"/>
      <c r="K27" s="384"/>
      <c r="L27" s="384"/>
      <c r="M27" s="384"/>
      <c r="N27" s="384"/>
    </row>
    <row r="28" spans="1:14" ht="213.75" customHeight="1" x14ac:dyDescent="0.25">
      <c r="A28" s="1562"/>
      <c r="B28" s="1563" t="s">
        <v>2320</v>
      </c>
      <c r="C28" s="4240" t="s">
        <v>2313</v>
      </c>
      <c r="D28" s="4241"/>
      <c r="E28" s="882" t="s">
        <v>2314</v>
      </c>
      <c r="F28" s="4237">
        <f>ROUND(955*(1-$G$72),2)</f>
        <v>955</v>
      </c>
      <c r="G28" s="4238"/>
      <c r="H28" s="4238"/>
      <c r="I28" s="4239"/>
      <c r="J28" s="384"/>
      <c r="K28" s="384"/>
      <c r="L28" s="384"/>
      <c r="M28" s="384"/>
      <c r="N28" s="384"/>
    </row>
    <row r="29" spans="1:14" ht="93" customHeight="1" x14ac:dyDescent="0.25">
      <c r="A29" s="1562"/>
      <c r="B29" s="1563" t="s">
        <v>2324</v>
      </c>
      <c r="C29" s="4240" t="s">
        <v>2325</v>
      </c>
      <c r="D29" s="4247"/>
      <c r="E29" s="882" t="s">
        <v>2314</v>
      </c>
      <c r="F29" s="4237">
        <f>ROUND(300*(1-$G$72),2)</f>
        <v>300</v>
      </c>
      <c r="G29" s="4238"/>
      <c r="H29" s="4238"/>
      <c r="I29" s="4239"/>
      <c r="J29" s="384"/>
      <c r="K29" s="384"/>
      <c r="L29" s="384"/>
      <c r="M29" s="384"/>
      <c r="N29" s="384"/>
    </row>
    <row r="30" spans="1:14" x14ac:dyDescent="0.25">
      <c r="A30" s="763"/>
      <c r="B30" s="763"/>
      <c r="C30" s="763"/>
      <c r="D30" s="763"/>
      <c r="E30" s="763"/>
      <c r="F30" s="763"/>
      <c r="G30" s="763"/>
      <c r="H30" s="763"/>
      <c r="I30" s="763"/>
      <c r="J30" s="384"/>
      <c r="K30" s="384"/>
      <c r="L30" s="384"/>
      <c r="M30" s="384"/>
      <c r="N30" s="384"/>
    </row>
    <row r="31" spans="1:14" ht="30" customHeight="1" x14ac:dyDescent="0.2">
      <c r="A31" s="4253" t="s">
        <v>702</v>
      </c>
      <c r="B31" s="4256" t="s">
        <v>399</v>
      </c>
      <c r="C31" s="4257"/>
      <c r="D31" s="4262" t="s">
        <v>1198</v>
      </c>
      <c r="E31" s="4253" t="s">
        <v>957</v>
      </c>
      <c r="F31" s="4296" t="s">
        <v>1199</v>
      </c>
      <c r="G31" s="4297"/>
      <c r="H31" s="4297"/>
      <c r="I31" s="4298"/>
      <c r="J31" s="384"/>
      <c r="K31" s="384"/>
      <c r="L31" s="384"/>
      <c r="M31" s="384"/>
      <c r="N31" s="384"/>
    </row>
    <row r="32" spans="1:14" ht="30" customHeight="1" x14ac:dyDescent="0.2">
      <c r="A32" s="4255"/>
      <c r="B32" s="4260"/>
      <c r="C32" s="4261"/>
      <c r="D32" s="4264"/>
      <c r="E32" s="4255"/>
      <c r="F32" s="4299"/>
      <c r="G32" s="4300"/>
      <c r="H32" s="4300"/>
      <c r="I32" s="4301"/>
      <c r="J32" s="384"/>
      <c r="K32" s="384"/>
      <c r="L32" s="384"/>
      <c r="M32" s="384"/>
      <c r="N32" s="384"/>
    </row>
    <row r="33" spans="1:14" s="497" customFormat="1" ht="50.25" customHeight="1" x14ac:dyDescent="0.2">
      <c r="A33" s="4292"/>
      <c r="B33" s="4268" t="s">
        <v>1200</v>
      </c>
      <c r="C33" s="4269"/>
      <c r="D33" s="764" t="s">
        <v>1201</v>
      </c>
      <c r="E33" s="4272" t="s">
        <v>1081</v>
      </c>
      <c r="F33" s="4293">
        <f>ROUND(18620*(1-$G$72),2)</f>
        <v>18620</v>
      </c>
      <c r="G33" s="4294"/>
      <c r="H33" s="4294"/>
      <c r="I33" s="4295"/>
      <c r="J33" s="384"/>
      <c r="K33" s="384"/>
      <c r="L33" s="384"/>
      <c r="M33" s="384"/>
      <c r="N33" s="384"/>
    </row>
    <row r="34" spans="1:14" s="497" customFormat="1" ht="52.5" customHeight="1" x14ac:dyDescent="0.2">
      <c r="A34" s="4292"/>
      <c r="B34" s="4270"/>
      <c r="C34" s="4271"/>
      <c r="D34" s="764" t="s">
        <v>1202</v>
      </c>
      <c r="E34" s="4273"/>
      <c r="F34" s="4293">
        <f>ROUND(20847*(1-$G$72),2)</f>
        <v>20847</v>
      </c>
      <c r="G34" s="4294"/>
      <c r="H34" s="4294"/>
      <c r="I34" s="4295"/>
      <c r="J34" s="384"/>
      <c r="K34" s="384"/>
      <c r="L34" s="384"/>
      <c r="M34" s="384"/>
      <c r="N34" s="384"/>
    </row>
    <row r="35" spans="1:14" s="497" customFormat="1" ht="52.5" customHeight="1" x14ac:dyDescent="0.2">
      <c r="A35" s="4266"/>
      <c r="B35" s="4268" t="s">
        <v>1203</v>
      </c>
      <c r="C35" s="4269"/>
      <c r="D35" s="4272" t="s">
        <v>1204</v>
      </c>
      <c r="E35" s="4272" t="s">
        <v>1081</v>
      </c>
      <c r="F35" s="4274">
        <f>ROUND(21439*(1-$G$72),2)</f>
        <v>21439</v>
      </c>
      <c r="G35" s="4275"/>
      <c r="H35" s="4275"/>
      <c r="I35" s="4276"/>
      <c r="J35" s="384"/>
      <c r="K35" s="384"/>
      <c r="L35" s="384"/>
      <c r="M35" s="384"/>
      <c r="N35" s="384"/>
    </row>
    <row r="36" spans="1:14" s="497" customFormat="1" ht="45" customHeight="1" x14ac:dyDescent="0.2">
      <c r="A36" s="4267"/>
      <c r="B36" s="4270"/>
      <c r="C36" s="4271"/>
      <c r="D36" s="4273"/>
      <c r="E36" s="4273"/>
      <c r="F36" s="4277"/>
      <c r="G36" s="4278"/>
      <c r="H36" s="4278"/>
      <c r="I36" s="4279"/>
      <c r="J36" s="384"/>
      <c r="K36" s="384"/>
      <c r="L36" s="384"/>
      <c r="M36" s="384"/>
      <c r="N36" s="384"/>
    </row>
    <row r="37" spans="1:14" s="497" customFormat="1" ht="45.75" customHeight="1" x14ac:dyDescent="0.2">
      <c r="A37" s="4292"/>
      <c r="B37" s="4268" t="s">
        <v>1205</v>
      </c>
      <c r="C37" s="4269"/>
      <c r="D37" s="764" t="s">
        <v>1206</v>
      </c>
      <c r="E37" s="4272" t="s">
        <v>1081</v>
      </c>
      <c r="F37" s="4293">
        <f>ROUND(38259*(1-$G$72),2)</f>
        <v>38259</v>
      </c>
      <c r="G37" s="4294"/>
      <c r="H37" s="4294"/>
      <c r="I37" s="4295"/>
      <c r="J37" s="384"/>
      <c r="K37" s="384"/>
      <c r="L37" s="384"/>
      <c r="M37" s="384"/>
      <c r="N37" s="384"/>
    </row>
    <row r="38" spans="1:14" s="497" customFormat="1" ht="49.5" customHeight="1" x14ac:dyDescent="0.2">
      <c r="A38" s="4292"/>
      <c r="B38" s="4270"/>
      <c r="C38" s="4271"/>
      <c r="D38" s="764" t="s">
        <v>1207</v>
      </c>
      <c r="E38" s="4273"/>
      <c r="F38" s="4293">
        <f>ROUND(45118*(1-$G$72),2)</f>
        <v>45118</v>
      </c>
      <c r="G38" s="4294"/>
      <c r="H38" s="4294"/>
      <c r="I38" s="4295"/>
      <c r="J38" s="384"/>
      <c r="K38" s="384"/>
      <c r="L38" s="384"/>
      <c r="M38" s="384"/>
      <c r="N38" s="384"/>
    </row>
    <row r="39" spans="1:14" s="497" customFormat="1" ht="29.25" customHeight="1" x14ac:dyDescent="0.2">
      <c r="A39" s="4266"/>
      <c r="B39" s="4268" t="s">
        <v>1208</v>
      </c>
      <c r="C39" s="4269"/>
      <c r="D39" s="4272" t="s">
        <v>1207</v>
      </c>
      <c r="E39" s="4272" t="s">
        <v>1209</v>
      </c>
      <c r="F39" s="4274">
        <f>ROUND(48269*(1-$G$72),2)</f>
        <v>48269</v>
      </c>
      <c r="G39" s="4275"/>
      <c r="H39" s="4275"/>
      <c r="I39" s="4276"/>
      <c r="J39" s="384"/>
      <c r="K39" s="384"/>
      <c r="L39" s="384"/>
      <c r="M39" s="384"/>
      <c r="N39" s="384"/>
    </row>
    <row r="40" spans="1:14" s="497" customFormat="1" ht="59.25" customHeight="1" x14ac:dyDescent="0.2">
      <c r="A40" s="4267"/>
      <c r="B40" s="4270"/>
      <c r="C40" s="4271"/>
      <c r="D40" s="4273"/>
      <c r="E40" s="4273"/>
      <c r="F40" s="4277"/>
      <c r="G40" s="4278"/>
      <c r="H40" s="4278"/>
      <c r="I40" s="4279"/>
      <c r="J40" s="384"/>
      <c r="K40" s="384"/>
      <c r="L40" s="384"/>
      <c r="M40" s="384"/>
      <c r="N40" s="384"/>
    </row>
    <row r="41" spans="1:14" s="497" customFormat="1" ht="18" customHeight="1" x14ac:dyDescent="0.2">
      <c r="A41" s="765"/>
      <c r="B41" s="761"/>
      <c r="C41" s="761"/>
      <c r="D41" s="766"/>
      <c r="E41" s="766"/>
      <c r="F41" s="767"/>
      <c r="G41" s="767"/>
      <c r="H41" s="767"/>
      <c r="I41" s="767"/>
      <c r="J41" s="384"/>
      <c r="K41" s="384"/>
      <c r="L41" s="384"/>
      <c r="M41" s="384"/>
      <c r="N41" s="384"/>
    </row>
    <row r="42" spans="1:14" s="497" customFormat="1" ht="60.75" customHeight="1" x14ac:dyDescent="0.2">
      <c r="A42" s="4248" t="s">
        <v>1210</v>
      </c>
      <c r="B42" s="4265" t="s">
        <v>3400</v>
      </c>
      <c r="C42" s="4265"/>
      <c r="D42" s="4265"/>
      <c r="E42" s="4265"/>
      <c r="F42" s="4265"/>
      <c r="G42" s="4265"/>
      <c r="H42" s="4265"/>
      <c r="I42" s="4265"/>
      <c r="J42" s="384"/>
      <c r="K42" s="384"/>
      <c r="L42" s="384"/>
      <c r="M42" s="384"/>
      <c r="N42" s="384"/>
    </row>
    <row r="43" spans="1:14" s="497" customFormat="1" ht="64.5" customHeight="1" x14ac:dyDescent="0.2">
      <c r="A43" s="4248"/>
      <c r="B43" s="4265"/>
      <c r="C43" s="4265"/>
      <c r="D43" s="4265"/>
      <c r="E43" s="4265"/>
      <c r="F43" s="4265"/>
      <c r="G43" s="4265"/>
      <c r="H43" s="4265"/>
      <c r="I43" s="4265"/>
      <c r="J43" s="384"/>
      <c r="K43" s="384"/>
      <c r="L43" s="384"/>
      <c r="M43" s="384"/>
      <c r="N43" s="384"/>
    </row>
    <row r="44" spans="1:14" s="497" customFormat="1" ht="19.5" customHeight="1" x14ac:dyDescent="0.2">
      <c r="A44" s="765"/>
      <c r="B44" s="761"/>
      <c r="C44" s="761"/>
      <c r="D44" s="766"/>
      <c r="E44" s="766"/>
      <c r="F44" s="767"/>
      <c r="G44" s="767"/>
      <c r="H44" s="767"/>
      <c r="I44" s="767"/>
      <c r="J44" s="384"/>
      <c r="K44" s="384"/>
      <c r="L44" s="384"/>
      <c r="M44" s="384"/>
      <c r="N44" s="384"/>
    </row>
    <row r="45" spans="1:14" ht="30" customHeight="1" x14ac:dyDescent="0.2">
      <c r="A45" s="4253" t="s">
        <v>702</v>
      </c>
      <c r="B45" s="4262" t="s">
        <v>399</v>
      </c>
      <c r="C45" s="4262" t="s">
        <v>1125</v>
      </c>
      <c r="D45" s="4253" t="s">
        <v>1147</v>
      </c>
      <c r="E45" s="4253" t="s">
        <v>957</v>
      </c>
      <c r="F45" s="4245" t="s">
        <v>2316</v>
      </c>
      <c r="G45" s="4245"/>
      <c r="H45" s="4245"/>
      <c r="I45" s="4245"/>
      <c r="J45" s="384"/>
      <c r="K45" s="384"/>
      <c r="L45" s="384"/>
      <c r="M45" s="384"/>
      <c r="N45" s="384"/>
    </row>
    <row r="46" spans="1:14" ht="30" customHeight="1" x14ac:dyDescent="0.2">
      <c r="A46" s="4255"/>
      <c r="B46" s="4264"/>
      <c r="C46" s="4264"/>
      <c r="D46" s="4255"/>
      <c r="E46" s="4255"/>
      <c r="F46" s="4246" t="s">
        <v>1211</v>
      </c>
      <c r="G46" s="4246"/>
      <c r="H46" s="4246"/>
      <c r="I46" s="4246"/>
      <c r="J46" s="384"/>
      <c r="K46" s="384"/>
      <c r="L46" s="384"/>
      <c r="M46" s="384"/>
      <c r="N46" s="384"/>
    </row>
    <row r="47" spans="1:14" ht="39.75" customHeight="1" x14ac:dyDescent="0.2">
      <c r="A47" s="4227"/>
      <c r="B47" s="4209" t="s">
        <v>1212</v>
      </c>
      <c r="C47" s="4211" t="s">
        <v>2177</v>
      </c>
      <c r="D47" s="755">
        <v>1.03</v>
      </c>
      <c r="E47" s="755" t="s">
        <v>1022</v>
      </c>
      <c r="F47" s="4231">
        <f>ROUND(9345*(1-$G$72),2)</f>
        <v>9345</v>
      </c>
      <c r="G47" s="4232"/>
      <c r="H47" s="4232"/>
      <c r="I47" s="4233"/>
      <c r="J47" s="384"/>
      <c r="K47" s="384"/>
      <c r="L47" s="384"/>
      <c r="M47" s="384"/>
      <c r="N47" s="384"/>
    </row>
    <row r="48" spans="1:14" ht="60" x14ac:dyDescent="0.2">
      <c r="A48" s="4228"/>
      <c r="B48" s="4210"/>
      <c r="C48" s="4211"/>
      <c r="D48" s="756">
        <v>1.53</v>
      </c>
      <c r="E48" s="757" t="s">
        <v>2912</v>
      </c>
      <c r="F48" s="4234">
        <f>ROUND(10731*(1-$G$72),2)</f>
        <v>10731</v>
      </c>
      <c r="G48" s="4235"/>
      <c r="H48" s="4235"/>
      <c r="I48" s="4236"/>
    </row>
    <row r="49" spans="1:9" ht="60" x14ac:dyDescent="0.2">
      <c r="A49" s="4228"/>
      <c r="B49" s="4210"/>
      <c r="C49" s="4211"/>
      <c r="D49" s="757">
        <v>1.73</v>
      </c>
      <c r="E49" s="757" t="s">
        <v>2912</v>
      </c>
      <c r="F49" s="4234">
        <f>ROUND(11765*(1-$G$72),2)</f>
        <v>11765</v>
      </c>
      <c r="G49" s="4235"/>
      <c r="H49" s="4235"/>
      <c r="I49" s="4236"/>
    </row>
    <row r="50" spans="1:9" ht="60" x14ac:dyDescent="0.2">
      <c r="A50" s="4229"/>
      <c r="B50" s="4230"/>
      <c r="C50" s="4211"/>
      <c r="D50" s="758">
        <v>2.0299999999999998</v>
      </c>
      <c r="E50" s="758" t="s">
        <v>2912</v>
      </c>
      <c r="F50" s="4242">
        <f>ROUND(12716*(1-$G$72),2)</f>
        <v>12716</v>
      </c>
      <c r="G50" s="4243"/>
      <c r="H50" s="4243"/>
      <c r="I50" s="4244"/>
    </row>
    <row r="51" spans="1:9" ht="16.5" customHeight="1" x14ac:dyDescent="0.25"/>
    <row r="52" spans="1:9" ht="30" x14ac:dyDescent="0.2">
      <c r="A52" s="4245" t="s">
        <v>702</v>
      </c>
      <c r="B52" s="4248" t="s">
        <v>399</v>
      </c>
      <c r="C52" s="4248" t="s">
        <v>1125</v>
      </c>
      <c r="D52" s="4245" t="s">
        <v>1147</v>
      </c>
      <c r="E52" s="4245" t="s">
        <v>957</v>
      </c>
      <c r="F52" s="4221" t="s">
        <v>2317</v>
      </c>
      <c r="G52" s="4222"/>
      <c r="H52" s="4222"/>
      <c r="I52" s="4223"/>
    </row>
    <row r="53" spans="1:9" ht="27.75" x14ac:dyDescent="0.2">
      <c r="A53" s="4245"/>
      <c r="B53" s="4248"/>
      <c r="C53" s="4248"/>
      <c r="D53" s="4245"/>
      <c r="E53" s="4245"/>
      <c r="F53" s="4224" t="s">
        <v>1211</v>
      </c>
      <c r="G53" s="4225"/>
      <c r="H53" s="4225"/>
      <c r="I53" s="4226"/>
    </row>
    <row r="54" spans="1:9" ht="39.75" customHeight="1" x14ac:dyDescent="0.2">
      <c r="A54" s="768"/>
      <c r="B54" s="4209" t="s">
        <v>1213</v>
      </c>
      <c r="C54" s="4211" t="s">
        <v>2177</v>
      </c>
      <c r="D54" s="755">
        <v>1.03</v>
      </c>
      <c r="E54" s="755" t="s">
        <v>1022</v>
      </c>
      <c r="F54" s="4212">
        <f>ROUND(21929*(1-$G$72),2)</f>
        <v>21929</v>
      </c>
      <c r="G54" s="4213"/>
      <c r="H54" s="4213"/>
      <c r="I54" s="4214"/>
    </row>
    <row r="55" spans="1:9" ht="60" x14ac:dyDescent="0.2">
      <c r="A55" s="769"/>
      <c r="B55" s="4210"/>
      <c r="C55" s="4211"/>
      <c r="D55" s="756">
        <v>1.53</v>
      </c>
      <c r="E55" s="757" t="s">
        <v>2912</v>
      </c>
      <c r="F55" s="4215">
        <f>ROUND(23317*(1-$G$72),2)</f>
        <v>23317</v>
      </c>
      <c r="G55" s="4216"/>
      <c r="H55" s="4216"/>
      <c r="I55" s="4217"/>
    </row>
    <row r="56" spans="1:9" ht="60" x14ac:dyDescent="0.2">
      <c r="A56" s="769"/>
      <c r="B56" s="4210"/>
      <c r="C56" s="4211"/>
      <c r="D56" s="770">
        <v>1.73</v>
      </c>
      <c r="E56" s="757" t="s">
        <v>2912</v>
      </c>
      <c r="F56" s="4215">
        <f>ROUND(27096*(1-$G$72),2)</f>
        <v>27096</v>
      </c>
      <c r="G56" s="4216"/>
      <c r="H56" s="4216"/>
      <c r="I56" s="4217"/>
    </row>
    <row r="57" spans="1:9" ht="60" x14ac:dyDescent="0.2">
      <c r="A57" s="771"/>
      <c r="B57" s="4210"/>
      <c r="C57" s="4211"/>
      <c r="D57" s="758">
        <v>2.0299999999999998</v>
      </c>
      <c r="E57" s="758" t="s">
        <v>2912</v>
      </c>
      <c r="F57" s="4218">
        <f>ROUND(27880*(1-$G$72),2)</f>
        <v>27880</v>
      </c>
      <c r="G57" s="4219"/>
      <c r="H57" s="4219"/>
      <c r="I57" s="4220"/>
    </row>
    <row r="58" spans="1:9" ht="18.75" customHeight="1" x14ac:dyDescent="0.2">
      <c r="A58" s="772"/>
      <c r="B58" s="773"/>
      <c r="C58" s="774"/>
      <c r="D58" s="775"/>
      <c r="E58" s="775"/>
      <c r="F58" s="776"/>
      <c r="G58" s="777"/>
      <c r="H58" s="777"/>
      <c r="I58" s="777"/>
    </row>
    <row r="59" spans="1:9" ht="24" customHeight="1" x14ac:dyDescent="0.2">
      <c r="A59" s="4253" t="s">
        <v>702</v>
      </c>
      <c r="B59" s="4256" t="s">
        <v>399</v>
      </c>
      <c r="C59" s="4257"/>
      <c r="D59" s="4262" t="s">
        <v>1198</v>
      </c>
      <c r="E59" s="4253" t="s">
        <v>957</v>
      </c>
      <c r="F59" s="4245" t="s">
        <v>1199</v>
      </c>
      <c r="G59" s="4245"/>
      <c r="H59" s="4245"/>
      <c r="I59" s="4245"/>
    </row>
    <row r="60" spans="1:9" ht="14.25" customHeight="1" x14ac:dyDescent="0.2">
      <c r="A60" s="4254"/>
      <c r="B60" s="4258"/>
      <c r="C60" s="4259"/>
      <c r="D60" s="4263"/>
      <c r="E60" s="4254"/>
      <c r="F60" s="4245"/>
      <c r="G60" s="4245"/>
      <c r="H60" s="4245"/>
      <c r="I60" s="4245"/>
    </row>
    <row r="61" spans="1:9" ht="24" customHeight="1" x14ac:dyDescent="0.2">
      <c r="A61" s="4255"/>
      <c r="B61" s="4260"/>
      <c r="C61" s="4261"/>
      <c r="D61" s="4264"/>
      <c r="E61" s="4255"/>
      <c r="F61" s="4224" t="s">
        <v>1649</v>
      </c>
      <c r="G61" s="4225"/>
      <c r="H61" s="4225"/>
      <c r="I61" s="4226"/>
    </row>
    <row r="62" spans="1:9" s="497" customFormat="1" ht="76.5" customHeight="1" x14ac:dyDescent="0.2">
      <c r="A62" s="778"/>
      <c r="B62" s="4206" t="s">
        <v>1214</v>
      </c>
      <c r="C62" s="4207"/>
      <c r="D62" s="779" t="s">
        <v>1215</v>
      </c>
      <c r="E62" s="780" t="s">
        <v>1216</v>
      </c>
      <c r="F62" s="4208">
        <f>ROUND(9994*(1-$G$72),2)</f>
        <v>9994</v>
      </c>
      <c r="G62" s="4208"/>
      <c r="H62" s="4208"/>
      <c r="I62" s="4208"/>
    </row>
    <row r="63" spans="1:9" s="497" customFormat="1" ht="70.5" customHeight="1" x14ac:dyDescent="0.2">
      <c r="A63" s="778"/>
      <c r="B63" s="4206" t="s">
        <v>1217</v>
      </c>
      <c r="C63" s="4207"/>
      <c r="D63" s="780" t="s">
        <v>1218</v>
      </c>
      <c r="E63" s="781" t="s">
        <v>1216</v>
      </c>
      <c r="F63" s="4208">
        <f>ROUND(18532*(1-$G$72),2)</f>
        <v>18532</v>
      </c>
      <c r="G63" s="4208"/>
      <c r="H63" s="4208"/>
      <c r="I63" s="4208"/>
    </row>
    <row r="64" spans="1:9" ht="18" customHeight="1" x14ac:dyDescent="0.25"/>
    <row r="65" spans="1:9" ht="123" customHeight="1" x14ac:dyDescent="0.2">
      <c r="A65" s="782" t="s">
        <v>1219</v>
      </c>
      <c r="B65" s="4249" t="s">
        <v>2913</v>
      </c>
      <c r="C65" s="4249"/>
      <c r="D65" s="4249"/>
      <c r="E65" s="4249"/>
      <c r="F65" s="4249"/>
      <c r="G65" s="4249"/>
      <c r="H65" s="4249"/>
      <c r="I65" s="4249"/>
    </row>
    <row r="66" spans="1:9" ht="117" customHeight="1" x14ac:dyDescent="0.2">
      <c r="A66" s="782" t="s">
        <v>1220</v>
      </c>
      <c r="B66" s="4249" t="s">
        <v>2914</v>
      </c>
      <c r="C66" s="4249"/>
      <c r="D66" s="4249"/>
      <c r="E66" s="4249"/>
      <c r="F66" s="4249"/>
      <c r="G66" s="4249"/>
      <c r="H66" s="4249"/>
      <c r="I66" s="4249"/>
    </row>
    <row r="67" spans="1:9" ht="27.75" customHeight="1" x14ac:dyDescent="0.35">
      <c r="A67" s="1566" t="s">
        <v>2321</v>
      </c>
    </row>
    <row r="68" spans="1:9" ht="30" x14ac:dyDescent="0.2">
      <c r="A68" s="750" t="s">
        <v>1221</v>
      </c>
      <c r="B68" s="783"/>
      <c r="C68" s="783"/>
      <c r="D68" s="783"/>
      <c r="E68" s="783"/>
      <c r="F68" s="784"/>
      <c r="G68" s="784"/>
      <c r="H68" s="784"/>
      <c r="I68" s="784"/>
    </row>
    <row r="69" spans="1:9" ht="30" customHeight="1" x14ac:dyDescent="0.2">
      <c r="A69" s="396"/>
      <c r="B69" s="783"/>
      <c r="C69" s="783"/>
      <c r="D69" s="783"/>
      <c r="E69" s="783"/>
      <c r="F69" s="784"/>
      <c r="G69" s="784"/>
      <c r="H69" s="784"/>
      <c r="I69" s="784"/>
    </row>
    <row r="70" spans="1:9" ht="30" customHeight="1" x14ac:dyDescent="0.2">
      <c r="A70" s="750"/>
      <c r="B70" s="783"/>
      <c r="C70" s="783"/>
      <c r="D70" s="783"/>
      <c r="E70" s="783"/>
      <c r="F70" s="784"/>
      <c r="G70" s="784"/>
      <c r="H70" s="784"/>
      <c r="I70" s="784"/>
    </row>
    <row r="71" spans="1:9" ht="30" customHeight="1" x14ac:dyDescent="0.4">
      <c r="A71" s="751"/>
      <c r="B71" s="783"/>
      <c r="C71" s="783"/>
      <c r="D71" s="783"/>
      <c r="E71" s="783"/>
      <c r="F71" s="784"/>
      <c r="G71" s="784"/>
      <c r="H71" s="784"/>
      <c r="I71" s="784"/>
    </row>
    <row r="72" spans="1:9" ht="81.75" customHeight="1" x14ac:dyDescent="0.2">
      <c r="A72" s="3393" t="s">
        <v>949</v>
      </c>
      <c r="B72" s="3394"/>
      <c r="C72" s="3394"/>
      <c r="D72" s="3394"/>
      <c r="E72" s="3394"/>
      <c r="F72" s="3394"/>
      <c r="G72" s="4250">
        <v>0</v>
      </c>
      <c r="H72" s="4251"/>
      <c r="I72" s="4252"/>
    </row>
    <row r="73" spans="1:9" ht="30" x14ac:dyDescent="0.4">
      <c r="B73" s="785"/>
      <c r="C73" s="785"/>
      <c r="D73" s="785"/>
      <c r="E73" s="785"/>
      <c r="F73" s="785"/>
      <c r="G73" s="785"/>
      <c r="H73" s="785"/>
      <c r="I73" s="785"/>
    </row>
  </sheetData>
  <mergeCells count="101">
    <mergeCell ref="D31:D32"/>
    <mergeCell ref="E31:E32"/>
    <mergeCell ref="F31:I32"/>
    <mergeCell ref="F24:I24"/>
    <mergeCell ref="F25:I25"/>
    <mergeCell ref="A7:I7"/>
    <mergeCell ref="A8:B8"/>
    <mergeCell ref="F9:I9"/>
    <mergeCell ref="F16:I16"/>
    <mergeCell ref="A10:A14"/>
    <mergeCell ref="B10:B14"/>
    <mergeCell ref="C10:C14"/>
    <mergeCell ref="F10:I10"/>
    <mergeCell ref="F11:I11"/>
    <mergeCell ref="F12:I12"/>
    <mergeCell ref="F13:I13"/>
    <mergeCell ref="F14:I14"/>
    <mergeCell ref="A17:A20"/>
    <mergeCell ref="B17:B20"/>
    <mergeCell ref="C17:C20"/>
    <mergeCell ref="F17:I17"/>
    <mergeCell ref="F18:I18"/>
    <mergeCell ref="F19:I19"/>
    <mergeCell ref="F20:I20"/>
    <mergeCell ref="F26:I26"/>
    <mergeCell ref="F22:I22"/>
    <mergeCell ref="B22:C22"/>
    <mergeCell ref="A23:A26"/>
    <mergeCell ref="B23:C26"/>
    <mergeCell ref="D23:D26"/>
    <mergeCell ref="F23:I23"/>
    <mergeCell ref="A37:A38"/>
    <mergeCell ref="B37:C38"/>
    <mergeCell ref="E37:E38"/>
    <mergeCell ref="F37:I37"/>
    <mergeCell ref="F38:I38"/>
    <mergeCell ref="A35:A36"/>
    <mergeCell ref="B35:C36"/>
    <mergeCell ref="D35:D36"/>
    <mergeCell ref="E35:E36"/>
    <mergeCell ref="F35:I36"/>
    <mergeCell ref="A33:A34"/>
    <mergeCell ref="B33:C34"/>
    <mergeCell ref="E33:E34"/>
    <mergeCell ref="F33:I33"/>
    <mergeCell ref="F34:I34"/>
    <mergeCell ref="A31:A32"/>
    <mergeCell ref="B31:C32"/>
    <mergeCell ref="A42:A43"/>
    <mergeCell ref="B42:I43"/>
    <mergeCell ref="A45:A46"/>
    <mergeCell ref="B45:B46"/>
    <mergeCell ref="C45:C46"/>
    <mergeCell ref="D45:D46"/>
    <mergeCell ref="E45:E46"/>
    <mergeCell ref="A39:A40"/>
    <mergeCell ref="B39:C40"/>
    <mergeCell ref="D39:D40"/>
    <mergeCell ref="E39:E40"/>
    <mergeCell ref="F39:I40"/>
    <mergeCell ref="A52:A53"/>
    <mergeCell ref="B52:B53"/>
    <mergeCell ref="C52:C53"/>
    <mergeCell ref="D52:D53"/>
    <mergeCell ref="E52:E53"/>
    <mergeCell ref="B65:I65"/>
    <mergeCell ref="B66:I66"/>
    <mergeCell ref="A72:F72"/>
    <mergeCell ref="G72:I72"/>
    <mergeCell ref="F59:I60"/>
    <mergeCell ref="E59:E61"/>
    <mergeCell ref="B59:C61"/>
    <mergeCell ref="A59:A61"/>
    <mergeCell ref="D59:D61"/>
    <mergeCell ref="B62:C62"/>
    <mergeCell ref="F62:I62"/>
    <mergeCell ref="F61:I61"/>
    <mergeCell ref="A1:I6"/>
    <mergeCell ref="B63:C63"/>
    <mergeCell ref="F63:I63"/>
    <mergeCell ref="B54:B57"/>
    <mergeCell ref="C54:C57"/>
    <mergeCell ref="F54:I54"/>
    <mergeCell ref="F55:I55"/>
    <mergeCell ref="F56:I56"/>
    <mergeCell ref="F57:I57"/>
    <mergeCell ref="F52:I52"/>
    <mergeCell ref="F53:I53"/>
    <mergeCell ref="A47:A50"/>
    <mergeCell ref="B47:B50"/>
    <mergeCell ref="C47:C50"/>
    <mergeCell ref="F47:I47"/>
    <mergeCell ref="F48:I48"/>
    <mergeCell ref="F28:I28"/>
    <mergeCell ref="C28:D28"/>
    <mergeCell ref="F49:I49"/>
    <mergeCell ref="F50:I50"/>
    <mergeCell ref="F45:I45"/>
    <mergeCell ref="F46:I46"/>
    <mergeCell ref="C29:D29"/>
    <mergeCell ref="F29:I29"/>
  </mergeCells>
  <printOptions horizontalCentered="1"/>
  <pageMargins left="0.27559055118110237" right="0.23622047244094491" top="0" bottom="0" header="3.937007874015748E-2" footer="0.11811023622047245"/>
  <pageSetup paperSize="9" scale="27" orientation="portrait" r:id="rId1"/>
  <headerFooter alignWithMargins="0">
    <oddFooter>&amp;R&amp;26Стр. &amp;P из  &amp;N
&amp;A</oddFooter>
  </headerFooter>
  <rowBreaks count="1" manualBreakCount="1">
    <brk id="70" max="8" man="1"/>
  </rowBreaks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04"/>
  <sheetViews>
    <sheetView zoomScale="50" zoomScaleNormal="50" zoomScaleSheetLayoutView="25" workbookViewId="0">
      <selection sqref="A1:C2"/>
    </sheetView>
  </sheetViews>
  <sheetFormatPr defaultRowHeight="14.25" x14ac:dyDescent="0.2"/>
  <cols>
    <col min="1" max="1" width="48.7109375" style="786" customWidth="1"/>
    <col min="2" max="2" width="49.140625" style="786" customWidth="1"/>
    <col min="3" max="3" width="42.28515625" style="787" customWidth="1"/>
    <col min="4" max="4" width="22.5703125" style="787" customWidth="1"/>
    <col min="5" max="5" width="22.140625" style="786" customWidth="1"/>
    <col min="6" max="6" width="20.85546875" style="786" customWidth="1"/>
    <col min="7" max="7" width="16.140625" style="786" customWidth="1"/>
    <col min="8" max="9" width="8.5703125" style="786" customWidth="1"/>
    <col min="10" max="10" width="10.5703125" style="786" customWidth="1"/>
    <col min="11" max="12" width="8.5703125" style="786" customWidth="1"/>
    <col min="13" max="13" width="39.85546875" style="786" customWidth="1"/>
    <col min="14" max="109" width="5.5703125" style="786" customWidth="1"/>
    <col min="110" max="16384" width="9.140625" style="786"/>
  </cols>
  <sheetData>
    <row r="1" spans="1:13" ht="134.25" customHeight="1" thickBot="1" x14ac:dyDescent="0.25">
      <c r="A1" s="4425"/>
      <c r="B1" s="4425"/>
      <c r="C1" s="4425"/>
      <c r="D1" s="4425"/>
      <c r="E1" s="4425"/>
      <c r="F1" s="4425"/>
      <c r="G1" s="4425"/>
      <c r="H1" s="4425"/>
      <c r="I1" s="4425"/>
      <c r="J1" s="4425"/>
      <c r="K1" s="4425"/>
      <c r="L1" s="4425"/>
      <c r="M1" s="4425"/>
    </row>
    <row r="2" spans="1:13" ht="30.75" customHeight="1" x14ac:dyDescent="0.5">
      <c r="A2" s="4426" t="s">
        <v>1222</v>
      </c>
      <c r="B2" s="4426"/>
      <c r="C2" s="4426"/>
      <c r="D2" s="4426"/>
      <c r="E2" s="4426"/>
      <c r="F2" s="4426"/>
      <c r="G2" s="4426"/>
      <c r="H2" s="4426"/>
      <c r="I2" s="4426"/>
      <c r="J2" s="4426"/>
      <c r="K2" s="4426"/>
      <c r="L2" s="4426"/>
      <c r="M2" s="4426"/>
    </row>
    <row r="3" spans="1:13" ht="25.5" x14ac:dyDescent="0.35">
      <c r="A3" s="788"/>
      <c r="B3" s="788"/>
      <c r="C3" s="788"/>
      <c r="D3" s="788"/>
      <c r="E3" s="788"/>
      <c r="F3" s="788"/>
      <c r="G3" s="788"/>
      <c r="H3" s="1583" t="s">
        <v>1</v>
      </c>
      <c r="J3" s="1583"/>
      <c r="K3" s="1583"/>
      <c r="L3" s="1583"/>
      <c r="M3" s="1584">
        <v>42361</v>
      </c>
    </row>
    <row r="4" spans="1:13" ht="26.25" x14ac:dyDescent="0.4">
      <c r="A4" s="4313" t="s">
        <v>399</v>
      </c>
      <c r="B4" s="4313" t="s">
        <v>955</v>
      </c>
      <c r="C4" s="4313" t="s">
        <v>1223</v>
      </c>
      <c r="D4" s="4315" t="s">
        <v>1224</v>
      </c>
      <c r="E4" s="4316"/>
      <c r="F4" s="4316"/>
      <c r="G4" s="4313" t="s">
        <v>703</v>
      </c>
      <c r="H4" s="4313"/>
      <c r="I4" s="4313"/>
      <c r="J4" s="4313"/>
      <c r="K4" s="4313"/>
      <c r="L4" s="4313"/>
      <c r="M4" s="4317" t="s">
        <v>276</v>
      </c>
    </row>
    <row r="5" spans="1:13" ht="26.25" x14ac:dyDescent="0.4">
      <c r="A5" s="4314"/>
      <c r="B5" s="4314"/>
      <c r="C5" s="4314"/>
      <c r="D5" s="4319" t="s">
        <v>1225</v>
      </c>
      <c r="E5" s="4320"/>
      <c r="F5" s="1192" t="s">
        <v>1226</v>
      </c>
      <c r="G5" s="4314"/>
      <c r="H5" s="4314"/>
      <c r="I5" s="4314"/>
      <c r="J5" s="4314"/>
      <c r="K5" s="4314"/>
      <c r="L5" s="4314"/>
      <c r="M5" s="4318"/>
    </row>
    <row r="6" spans="1:13" ht="49.5" customHeight="1" x14ac:dyDescent="0.2">
      <c r="A6" s="4323" t="s">
        <v>1968</v>
      </c>
      <c r="B6" s="4325"/>
      <c r="C6" s="4326" t="s">
        <v>1969</v>
      </c>
      <c r="D6" s="4327" t="s">
        <v>1227</v>
      </c>
      <c r="E6" s="4327"/>
      <c r="F6" s="4327" t="s">
        <v>1228</v>
      </c>
      <c r="G6" s="4321" t="s">
        <v>802</v>
      </c>
      <c r="H6" s="4321"/>
      <c r="I6" s="4321"/>
      <c r="J6" s="4321" t="s">
        <v>1970</v>
      </c>
      <c r="K6" s="4321"/>
      <c r="L6" s="4321"/>
      <c r="M6" s="4322">
        <f>ROUND(6160*(1-$G$71),2)</f>
        <v>6160</v>
      </c>
    </row>
    <row r="7" spans="1:13" ht="26.25" customHeight="1" x14ac:dyDescent="0.2">
      <c r="A7" s="4323"/>
      <c r="B7" s="4325"/>
      <c r="C7" s="4326"/>
      <c r="D7" s="4327"/>
      <c r="E7" s="4327"/>
      <c r="F7" s="4327"/>
      <c r="G7" s="4321" t="s">
        <v>1181</v>
      </c>
      <c r="H7" s="4321"/>
      <c r="I7" s="4321"/>
      <c r="J7" s="4321" t="s">
        <v>1229</v>
      </c>
      <c r="K7" s="4321"/>
      <c r="L7" s="4321"/>
      <c r="M7" s="4322"/>
    </row>
    <row r="8" spans="1:13" ht="23.25" customHeight="1" x14ac:dyDescent="0.2">
      <c r="A8" s="4323"/>
      <c r="B8" s="4325"/>
      <c r="C8" s="4326"/>
      <c r="D8" s="4327"/>
      <c r="E8" s="4327"/>
      <c r="F8" s="4327"/>
      <c r="G8" s="4321" t="s">
        <v>1183</v>
      </c>
      <c r="H8" s="4321"/>
      <c r="I8" s="4321"/>
      <c r="J8" s="4321" t="s">
        <v>1184</v>
      </c>
      <c r="K8" s="4321"/>
      <c r="L8" s="4321"/>
      <c r="M8" s="4322"/>
    </row>
    <row r="9" spans="1:13" ht="17.25" customHeight="1" x14ac:dyDescent="0.2">
      <c r="A9" s="4323"/>
      <c r="B9" s="4325"/>
      <c r="C9" s="4326"/>
      <c r="D9" s="4327"/>
      <c r="E9" s="4327"/>
      <c r="F9" s="4327"/>
      <c r="G9" s="4321" t="s">
        <v>1185</v>
      </c>
      <c r="H9" s="4321"/>
      <c r="I9" s="4321"/>
      <c r="J9" s="4321" t="s">
        <v>1186</v>
      </c>
      <c r="K9" s="4321"/>
      <c r="L9" s="4321"/>
      <c r="M9" s="4322"/>
    </row>
    <row r="10" spans="1:13" ht="14.25" customHeight="1" x14ac:dyDescent="0.2">
      <c r="A10" s="4323"/>
      <c r="B10" s="4325"/>
      <c r="C10" s="4326"/>
      <c r="D10" s="4327"/>
      <c r="E10" s="4327"/>
      <c r="F10" s="4327"/>
      <c r="G10" s="4321"/>
      <c r="H10" s="4321"/>
      <c r="I10" s="4321"/>
      <c r="J10" s="4321"/>
      <c r="K10" s="4321"/>
      <c r="L10" s="4321"/>
      <c r="M10" s="4322"/>
    </row>
    <row r="11" spans="1:13" ht="45.75" customHeight="1" x14ac:dyDescent="0.2">
      <c r="A11" s="4323"/>
      <c r="B11" s="4328"/>
      <c r="C11" s="4326" t="s">
        <v>1971</v>
      </c>
      <c r="D11" s="4327" t="s">
        <v>1972</v>
      </c>
      <c r="E11" s="4327"/>
      <c r="F11" s="4327" t="s">
        <v>1227</v>
      </c>
      <c r="G11" s="4334" t="s">
        <v>1973</v>
      </c>
      <c r="H11" s="4335"/>
      <c r="I11" s="4336"/>
      <c r="J11" s="4334" t="s">
        <v>1974</v>
      </c>
      <c r="K11" s="4335"/>
      <c r="L11" s="4336"/>
      <c r="M11" s="4349">
        <f>ROUND(1040*(1-$G$71),2)</f>
        <v>1040</v>
      </c>
    </row>
    <row r="12" spans="1:13" ht="29.25" customHeight="1" thickBot="1" x14ac:dyDescent="0.25">
      <c r="A12" s="4324"/>
      <c r="B12" s="4329"/>
      <c r="C12" s="4330"/>
      <c r="D12" s="4331"/>
      <c r="E12" s="4331"/>
      <c r="F12" s="4331"/>
      <c r="G12" s="4346"/>
      <c r="H12" s="4347"/>
      <c r="I12" s="4348"/>
      <c r="J12" s="4346"/>
      <c r="K12" s="4347"/>
      <c r="L12" s="4348"/>
      <c r="M12" s="4350"/>
    </row>
    <row r="13" spans="1:13" ht="29.25" customHeight="1" x14ac:dyDescent="0.2">
      <c r="A13" s="4353" t="s">
        <v>1975</v>
      </c>
      <c r="B13" s="4362"/>
      <c r="C13" s="4357" t="s">
        <v>1976</v>
      </c>
      <c r="D13" s="4355" t="s">
        <v>1227</v>
      </c>
      <c r="E13" s="4355"/>
      <c r="F13" s="4355" t="s">
        <v>1228</v>
      </c>
      <c r="G13" s="4333" t="s">
        <v>802</v>
      </c>
      <c r="H13" s="4333"/>
      <c r="I13" s="4333"/>
      <c r="J13" s="4351">
        <v>6005</v>
      </c>
      <c r="K13" s="4351"/>
      <c r="L13" s="4351"/>
      <c r="M13" s="4332">
        <f>ROUND(15760*(1-$G$71),2)</f>
        <v>15760</v>
      </c>
    </row>
    <row r="14" spans="1:13" ht="24.95" customHeight="1" x14ac:dyDescent="0.2">
      <c r="A14" s="4323"/>
      <c r="B14" s="4325"/>
      <c r="C14" s="4358"/>
      <c r="D14" s="4327"/>
      <c r="E14" s="4327"/>
      <c r="F14" s="4327"/>
      <c r="G14" s="4333" t="s">
        <v>1181</v>
      </c>
      <c r="H14" s="4333"/>
      <c r="I14" s="4333"/>
      <c r="J14" s="4333" t="s">
        <v>1230</v>
      </c>
      <c r="K14" s="4333"/>
      <c r="L14" s="4333"/>
      <c r="M14" s="4322"/>
    </row>
    <row r="15" spans="1:13" ht="26.25" customHeight="1" x14ac:dyDescent="0.2">
      <c r="A15" s="4323"/>
      <c r="B15" s="4325"/>
      <c r="C15" s="4358"/>
      <c r="D15" s="4327"/>
      <c r="E15" s="4327"/>
      <c r="F15" s="4327"/>
      <c r="G15" s="4334" t="s">
        <v>1183</v>
      </c>
      <c r="H15" s="4335"/>
      <c r="I15" s="4336"/>
      <c r="J15" s="4334" t="s">
        <v>1184</v>
      </c>
      <c r="K15" s="4335"/>
      <c r="L15" s="4336"/>
      <c r="M15" s="4322"/>
    </row>
    <row r="16" spans="1:13" ht="9.75" customHeight="1" x14ac:dyDescent="0.2">
      <c r="A16" s="4323"/>
      <c r="B16" s="4325"/>
      <c r="C16" s="4358"/>
      <c r="D16" s="4327"/>
      <c r="E16" s="4327"/>
      <c r="F16" s="4327"/>
      <c r="G16" s="4337"/>
      <c r="H16" s="4338"/>
      <c r="I16" s="4339"/>
      <c r="J16" s="4337"/>
      <c r="K16" s="4338"/>
      <c r="L16" s="4339"/>
      <c r="M16" s="4322"/>
    </row>
    <row r="17" spans="1:13" ht="27.75" customHeight="1" x14ac:dyDescent="0.2">
      <c r="A17" s="4323"/>
      <c r="B17" s="4325"/>
      <c r="C17" s="4358"/>
      <c r="D17" s="4327"/>
      <c r="E17" s="4327"/>
      <c r="F17" s="4327"/>
      <c r="G17" s="4340" t="s">
        <v>1185</v>
      </c>
      <c r="H17" s="4341"/>
      <c r="I17" s="4342"/>
      <c r="J17" s="4343" t="s">
        <v>1186</v>
      </c>
      <c r="K17" s="4344"/>
      <c r="L17" s="4345"/>
      <c r="M17" s="4322"/>
    </row>
    <row r="18" spans="1:13" ht="44.25" customHeight="1" x14ac:dyDescent="0.2">
      <c r="A18" s="4323"/>
      <c r="B18" s="4328"/>
      <c r="C18" s="4326" t="s">
        <v>1971</v>
      </c>
      <c r="D18" s="4327" t="s">
        <v>1972</v>
      </c>
      <c r="E18" s="4327"/>
      <c r="F18" s="4327" t="s">
        <v>1227</v>
      </c>
      <c r="G18" s="4334" t="s">
        <v>1973</v>
      </c>
      <c r="H18" s="4335"/>
      <c r="I18" s="4336"/>
      <c r="J18" s="4334" t="s">
        <v>1974</v>
      </c>
      <c r="K18" s="4335"/>
      <c r="L18" s="4336"/>
      <c r="M18" s="4349">
        <f>ROUND(1040*(1-$G$71),2)</f>
        <v>1040</v>
      </c>
    </row>
    <row r="19" spans="1:13" ht="8.25" customHeight="1" thickBot="1" x14ac:dyDescent="0.25">
      <c r="A19" s="4324"/>
      <c r="B19" s="4329"/>
      <c r="C19" s="4330"/>
      <c r="D19" s="4331"/>
      <c r="E19" s="4331"/>
      <c r="F19" s="4331"/>
      <c r="G19" s="4346"/>
      <c r="H19" s="4347"/>
      <c r="I19" s="4348"/>
      <c r="J19" s="4346"/>
      <c r="K19" s="4347"/>
      <c r="L19" s="4348"/>
      <c r="M19" s="4350"/>
    </row>
    <row r="20" spans="1:13" ht="27.75" customHeight="1" x14ac:dyDescent="0.2">
      <c r="A20" s="4352" t="s">
        <v>1977</v>
      </c>
      <c r="B20" s="4354"/>
      <c r="C20" s="4356" t="s">
        <v>1978</v>
      </c>
      <c r="D20" s="4354" t="s">
        <v>1227</v>
      </c>
      <c r="E20" s="4354"/>
      <c r="F20" s="4354"/>
      <c r="G20" s="4359" t="s">
        <v>802</v>
      </c>
      <c r="H20" s="4359"/>
      <c r="I20" s="4359"/>
      <c r="J20" s="4360">
        <v>6005.9004999999997</v>
      </c>
      <c r="K20" s="4360"/>
      <c r="L20" s="4360"/>
      <c r="M20" s="4361">
        <f>ROUND(3840*(1-$G$71),2)</f>
        <v>3840</v>
      </c>
    </row>
    <row r="21" spans="1:13" ht="27.75" customHeight="1" x14ac:dyDescent="0.2">
      <c r="A21" s="4353"/>
      <c r="B21" s="4355"/>
      <c r="C21" s="4357"/>
      <c r="D21" s="4355"/>
      <c r="E21" s="4355"/>
      <c r="F21" s="4355"/>
      <c r="G21" s="4333" t="s">
        <v>1181</v>
      </c>
      <c r="H21" s="4333"/>
      <c r="I21" s="4333"/>
      <c r="J21" s="4333" t="s">
        <v>1232</v>
      </c>
      <c r="K21" s="4333"/>
      <c r="L21" s="4333"/>
      <c r="M21" s="4332"/>
    </row>
    <row r="22" spans="1:13" ht="27.75" customHeight="1" x14ac:dyDescent="0.2">
      <c r="A22" s="4323"/>
      <c r="B22" s="4327"/>
      <c r="C22" s="4358"/>
      <c r="D22" s="4327"/>
      <c r="E22" s="4327"/>
      <c r="F22" s="4327"/>
      <c r="G22" s="4321" t="s">
        <v>1183</v>
      </c>
      <c r="H22" s="4321"/>
      <c r="I22" s="4321"/>
      <c r="J22" s="4321" t="s">
        <v>1233</v>
      </c>
      <c r="K22" s="4321"/>
      <c r="L22" s="4321"/>
      <c r="M22" s="4322"/>
    </row>
    <row r="23" spans="1:13" ht="27.75" customHeight="1" x14ac:dyDescent="0.2">
      <c r="A23" s="4323"/>
      <c r="B23" s="4327"/>
      <c r="C23" s="4358"/>
      <c r="D23" s="4327"/>
      <c r="E23" s="4327"/>
      <c r="F23" s="4327"/>
      <c r="G23" s="4321" t="s">
        <v>1185</v>
      </c>
      <c r="H23" s="4321"/>
      <c r="I23" s="4321"/>
      <c r="J23" s="4321" t="s">
        <v>1186</v>
      </c>
      <c r="K23" s="4321"/>
      <c r="L23" s="4321"/>
      <c r="M23" s="4322"/>
    </row>
    <row r="24" spans="1:13" ht="30.75" customHeight="1" x14ac:dyDescent="0.2">
      <c r="A24" s="4323"/>
      <c r="B24" s="4327"/>
      <c r="C24" s="4326" t="s">
        <v>1971</v>
      </c>
      <c r="D24" s="4327" t="s">
        <v>1972</v>
      </c>
      <c r="E24" s="4327"/>
      <c r="F24" s="4327" t="s">
        <v>1227</v>
      </c>
      <c r="G24" s="4334" t="s">
        <v>1973</v>
      </c>
      <c r="H24" s="4335"/>
      <c r="I24" s="4336"/>
      <c r="J24" s="4334" t="s">
        <v>1974</v>
      </c>
      <c r="K24" s="4335"/>
      <c r="L24" s="4336"/>
      <c r="M24" s="4349">
        <f>ROUND(1040*(1-$G$71),2)</f>
        <v>1040</v>
      </c>
    </row>
    <row r="25" spans="1:13" ht="17.25" customHeight="1" thickBot="1" x14ac:dyDescent="0.25">
      <c r="A25" s="4324"/>
      <c r="B25" s="4331"/>
      <c r="C25" s="4330"/>
      <c r="D25" s="4331"/>
      <c r="E25" s="4331"/>
      <c r="F25" s="4331"/>
      <c r="G25" s="4346"/>
      <c r="H25" s="4347"/>
      <c r="I25" s="4348"/>
      <c r="J25" s="4346"/>
      <c r="K25" s="4347"/>
      <c r="L25" s="4348"/>
      <c r="M25" s="4350"/>
    </row>
    <row r="26" spans="1:13" ht="50.25" hidden="1" customHeight="1" x14ac:dyDescent="0.2">
      <c r="A26" s="4369" t="s">
        <v>1979</v>
      </c>
      <c r="B26" s="4371"/>
      <c r="C26" s="4374" t="s">
        <v>1234</v>
      </c>
      <c r="D26" s="4377" t="s">
        <v>1227</v>
      </c>
      <c r="E26" s="4377"/>
      <c r="F26" s="4378"/>
      <c r="G26" s="4337"/>
      <c r="H26" s="4338"/>
      <c r="I26" s="4339"/>
      <c r="J26" s="4337"/>
      <c r="K26" s="4338"/>
      <c r="L26" s="4339"/>
      <c r="M26" s="1729">
        <v>4530</v>
      </c>
    </row>
    <row r="27" spans="1:13" ht="57.75" customHeight="1" x14ac:dyDescent="0.2">
      <c r="A27" s="4369"/>
      <c r="B27" s="4372"/>
      <c r="C27" s="4375"/>
      <c r="D27" s="4379"/>
      <c r="E27" s="4379"/>
      <c r="F27" s="4380"/>
      <c r="G27" s="4321" t="s">
        <v>802</v>
      </c>
      <c r="H27" s="4321"/>
      <c r="I27" s="4321"/>
      <c r="J27" s="4321" t="s">
        <v>1235</v>
      </c>
      <c r="K27" s="4321"/>
      <c r="L27" s="4321"/>
      <c r="M27" s="4383">
        <f>ROUND(4960*(1-$G$71),2)</f>
        <v>4960</v>
      </c>
    </row>
    <row r="28" spans="1:13" ht="24.95" customHeight="1" x14ac:dyDescent="0.2">
      <c r="A28" s="4369"/>
      <c r="B28" s="4373"/>
      <c r="C28" s="4376"/>
      <c r="D28" s="4381"/>
      <c r="E28" s="4381"/>
      <c r="F28" s="4382"/>
      <c r="G28" s="4321"/>
      <c r="H28" s="4321"/>
      <c r="I28" s="4321"/>
      <c r="J28" s="4321"/>
      <c r="K28" s="4321"/>
      <c r="L28" s="4321"/>
      <c r="M28" s="4383"/>
    </row>
    <row r="29" spans="1:13" ht="24.95" customHeight="1" x14ac:dyDescent="0.2">
      <c r="A29" s="4369"/>
      <c r="B29" s="4323" t="s">
        <v>1236</v>
      </c>
      <c r="C29" s="4323"/>
      <c r="D29" s="4323"/>
      <c r="E29" s="4323"/>
      <c r="F29" s="4323"/>
      <c r="G29" s="4363" t="s">
        <v>1237</v>
      </c>
      <c r="H29" s="4364"/>
      <c r="I29" s="4364"/>
      <c r="J29" s="4364"/>
      <c r="K29" s="4364"/>
      <c r="L29" s="4365"/>
      <c r="M29" s="4383"/>
    </row>
    <row r="30" spans="1:13" ht="24.95" customHeight="1" x14ac:dyDescent="0.2">
      <c r="A30" s="4369"/>
      <c r="B30" s="4323" t="s">
        <v>1238</v>
      </c>
      <c r="C30" s="4323"/>
      <c r="D30" s="4323"/>
      <c r="E30" s="4323"/>
      <c r="F30" s="4323"/>
      <c r="G30" s="4363" t="s">
        <v>1239</v>
      </c>
      <c r="H30" s="4364"/>
      <c r="I30" s="4364"/>
      <c r="J30" s="4364"/>
      <c r="K30" s="4364"/>
      <c r="L30" s="4365"/>
      <c r="M30" s="4383"/>
    </row>
    <row r="31" spans="1:13" ht="30.75" customHeight="1" x14ac:dyDescent="0.2">
      <c r="A31" s="4369"/>
      <c r="B31" s="4323" t="s">
        <v>1240</v>
      </c>
      <c r="C31" s="4323"/>
      <c r="D31" s="4323"/>
      <c r="E31" s="4323"/>
      <c r="F31" s="4323"/>
      <c r="G31" s="4366" t="s">
        <v>1241</v>
      </c>
      <c r="H31" s="4367"/>
      <c r="I31" s="4367"/>
      <c r="J31" s="4367"/>
      <c r="K31" s="4367"/>
      <c r="L31" s="4368"/>
      <c r="M31" s="4332"/>
    </row>
    <row r="32" spans="1:13" ht="27.75" customHeight="1" thickBot="1" x14ac:dyDescent="0.25">
      <c r="A32" s="4370"/>
      <c r="B32" s="4324" t="s">
        <v>1242</v>
      </c>
      <c r="C32" s="4324"/>
      <c r="D32" s="4324"/>
      <c r="E32" s="4324"/>
      <c r="F32" s="4324"/>
      <c r="G32" s="4388" t="s">
        <v>1980</v>
      </c>
      <c r="H32" s="4389"/>
      <c r="I32" s="4389"/>
      <c r="J32" s="4389"/>
      <c r="K32" s="4389"/>
      <c r="L32" s="4390"/>
      <c r="M32" s="1730">
        <f>ROUND(1360*(1-$G$71),2)</f>
        <v>1360</v>
      </c>
    </row>
    <row r="33" spans="1:13" ht="26.25" customHeight="1" x14ac:dyDescent="0.2">
      <c r="A33" s="4396" t="s">
        <v>1981</v>
      </c>
      <c r="B33" s="4362"/>
      <c r="C33" s="4376" t="s">
        <v>1982</v>
      </c>
      <c r="D33" s="4391" t="s">
        <v>1227</v>
      </c>
      <c r="E33" s="4380"/>
      <c r="F33" s="4355" t="s">
        <v>1227</v>
      </c>
      <c r="G33" s="4393" t="s">
        <v>802</v>
      </c>
      <c r="H33" s="4394"/>
      <c r="I33" s="4395"/>
      <c r="J33" s="4394" t="s">
        <v>1970</v>
      </c>
      <c r="K33" s="4394"/>
      <c r="L33" s="4395"/>
      <c r="M33" s="4361">
        <f>ROUND(7440*(1-$G$71),2)</f>
        <v>7440</v>
      </c>
    </row>
    <row r="34" spans="1:13" ht="21.75" customHeight="1" x14ac:dyDescent="0.2">
      <c r="A34" s="4369"/>
      <c r="B34" s="4325"/>
      <c r="C34" s="4326"/>
      <c r="D34" s="4391"/>
      <c r="E34" s="4380"/>
      <c r="F34" s="4327"/>
      <c r="G34" s="4385"/>
      <c r="H34" s="4386"/>
      <c r="I34" s="4387"/>
      <c r="J34" s="4386"/>
      <c r="K34" s="4386"/>
      <c r="L34" s="4387"/>
      <c r="M34" s="4322"/>
    </row>
    <row r="35" spans="1:13" ht="24.75" customHeight="1" x14ac:dyDescent="0.2">
      <c r="A35" s="4369"/>
      <c r="B35" s="4325"/>
      <c r="C35" s="4326"/>
      <c r="D35" s="4391"/>
      <c r="E35" s="4380"/>
      <c r="F35" s="4363"/>
      <c r="G35" s="4321" t="s">
        <v>1181</v>
      </c>
      <c r="H35" s="4321"/>
      <c r="I35" s="4321"/>
      <c r="J35" s="4321" t="s">
        <v>1182</v>
      </c>
      <c r="K35" s="4321"/>
      <c r="L35" s="4321"/>
      <c r="M35" s="4384"/>
    </row>
    <row r="36" spans="1:13" ht="27.75" customHeight="1" x14ac:dyDescent="0.2">
      <c r="A36" s="4369"/>
      <c r="B36" s="4325"/>
      <c r="C36" s="4326"/>
      <c r="D36" s="4391"/>
      <c r="E36" s="4380"/>
      <c r="F36" s="4363"/>
      <c r="G36" s="4321" t="s">
        <v>1183</v>
      </c>
      <c r="H36" s="4321"/>
      <c r="I36" s="4321"/>
      <c r="J36" s="4321" t="s">
        <v>1184</v>
      </c>
      <c r="K36" s="4321"/>
      <c r="L36" s="4321"/>
      <c r="M36" s="4384"/>
    </row>
    <row r="37" spans="1:13" ht="18.75" customHeight="1" x14ac:dyDescent="0.2">
      <c r="A37" s="4369"/>
      <c r="B37" s="4325"/>
      <c r="C37" s="4326"/>
      <c r="D37" s="4391"/>
      <c r="E37" s="4380"/>
      <c r="F37" s="4327"/>
      <c r="G37" s="4385" t="s">
        <v>1185</v>
      </c>
      <c r="H37" s="4386"/>
      <c r="I37" s="4387"/>
      <c r="J37" s="4385" t="s">
        <v>1186</v>
      </c>
      <c r="K37" s="4386"/>
      <c r="L37" s="4387"/>
      <c r="M37" s="4322"/>
    </row>
    <row r="38" spans="1:13" s="789" customFormat="1" ht="15.75" customHeight="1" x14ac:dyDescent="0.25">
      <c r="A38" s="4369"/>
      <c r="B38" s="4325"/>
      <c r="C38" s="4326"/>
      <c r="D38" s="4392"/>
      <c r="E38" s="4382"/>
      <c r="F38" s="4327"/>
      <c r="G38" s="4337"/>
      <c r="H38" s="4338"/>
      <c r="I38" s="4339"/>
      <c r="J38" s="4337"/>
      <c r="K38" s="4338"/>
      <c r="L38" s="4339"/>
      <c r="M38" s="4322"/>
    </row>
    <row r="39" spans="1:13" s="789" customFormat="1" ht="57.75" customHeight="1" x14ac:dyDescent="0.35">
      <c r="A39" s="4369"/>
      <c r="B39" s="1571"/>
      <c r="C39" s="1572" t="s">
        <v>1187</v>
      </c>
      <c r="D39" s="4363" t="s">
        <v>1228</v>
      </c>
      <c r="E39" s="4365"/>
      <c r="F39" s="1579" t="s">
        <v>1983</v>
      </c>
      <c r="G39" s="4321" t="s">
        <v>1984</v>
      </c>
      <c r="H39" s="4321"/>
      <c r="I39" s="4321"/>
      <c r="J39" s="4321"/>
      <c r="K39" s="4321"/>
      <c r="L39" s="4321"/>
      <c r="M39" s="1731">
        <f>ROUND(2800*(1-$G$71),2)</f>
        <v>2800</v>
      </c>
    </row>
    <row r="40" spans="1:13" s="789" customFormat="1" ht="56.25" customHeight="1" thickBot="1" x14ac:dyDescent="0.4">
      <c r="A40" s="4370"/>
      <c r="B40" s="1193"/>
      <c r="C40" s="1574" t="s">
        <v>1189</v>
      </c>
      <c r="D40" s="4402" t="s">
        <v>1228</v>
      </c>
      <c r="E40" s="4403"/>
      <c r="F40" s="1194" t="s">
        <v>1983</v>
      </c>
      <c r="G40" s="4404" t="s">
        <v>1985</v>
      </c>
      <c r="H40" s="4404"/>
      <c r="I40" s="4404"/>
      <c r="J40" s="4404"/>
      <c r="K40" s="4404"/>
      <c r="L40" s="4404"/>
      <c r="M40" s="1732">
        <f>ROUND(990*(1-$G$71),2)</f>
        <v>990</v>
      </c>
    </row>
    <row r="41" spans="1:13" s="789" customFormat="1" ht="30.75" customHeight="1" x14ac:dyDescent="0.25">
      <c r="A41" s="4396" t="s">
        <v>1986</v>
      </c>
      <c r="B41" s="4371"/>
      <c r="C41" s="4374" t="s">
        <v>2329</v>
      </c>
      <c r="D41" s="4354" t="s">
        <v>1227</v>
      </c>
      <c r="E41" s="4354"/>
      <c r="F41" s="4354"/>
      <c r="G41" s="4393" t="s">
        <v>802</v>
      </c>
      <c r="H41" s="4394"/>
      <c r="I41" s="4395"/>
      <c r="J41" s="4397">
        <v>6005.9004999999997</v>
      </c>
      <c r="K41" s="4397"/>
      <c r="L41" s="4397"/>
      <c r="M41" s="4401">
        <f>ROUND(2649*(1-$G$71),2)</f>
        <v>2649</v>
      </c>
    </row>
    <row r="42" spans="1:13" s="789" customFormat="1" ht="29.25" customHeight="1" x14ac:dyDescent="0.25">
      <c r="A42" s="4369"/>
      <c r="B42" s="4372"/>
      <c r="C42" s="4375"/>
      <c r="D42" s="4355"/>
      <c r="E42" s="4355"/>
      <c r="F42" s="4355"/>
      <c r="G42" s="4321" t="s">
        <v>1181</v>
      </c>
      <c r="H42" s="4321"/>
      <c r="I42" s="4321"/>
      <c r="J42" s="4321" t="s">
        <v>1232</v>
      </c>
      <c r="K42" s="4321"/>
      <c r="L42" s="4321"/>
      <c r="M42" s="4383"/>
    </row>
    <row r="43" spans="1:13" s="789" customFormat="1" ht="30.75" customHeight="1" x14ac:dyDescent="0.25">
      <c r="A43" s="4369"/>
      <c r="B43" s="4372"/>
      <c r="C43" s="4375"/>
      <c r="D43" s="4327"/>
      <c r="E43" s="4327"/>
      <c r="F43" s="4327"/>
      <c r="G43" s="4321" t="s">
        <v>1183</v>
      </c>
      <c r="H43" s="4321"/>
      <c r="I43" s="4321"/>
      <c r="J43" s="4321" t="s">
        <v>1233</v>
      </c>
      <c r="K43" s="4321"/>
      <c r="L43" s="4321"/>
      <c r="M43" s="4383"/>
    </row>
    <row r="44" spans="1:13" s="789" customFormat="1" ht="30.75" customHeight="1" x14ac:dyDescent="0.25">
      <c r="A44" s="4369"/>
      <c r="B44" s="4373"/>
      <c r="C44" s="4376"/>
      <c r="D44" s="4327"/>
      <c r="E44" s="4327"/>
      <c r="F44" s="4327"/>
      <c r="G44" s="4321" t="s">
        <v>1185</v>
      </c>
      <c r="H44" s="4321"/>
      <c r="I44" s="4321"/>
      <c r="J44" s="4321" t="s">
        <v>1186</v>
      </c>
      <c r="K44" s="4321"/>
      <c r="L44" s="4321"/>
      <c r="M44" s="4332"/>
    </row>
    <row r="45" spans="1:13" s="789" customFormat="1" ht="60.75" customHeight="1" thickBot="1" x14ac:dyDescent="0.4">
      <c r="A45" s="4370"/>
      <c r="B45" s="1195"/>
      <c r="C45" s="1196" t="s">
        <v>1987</v>
      </c>
      <c r="D45" s="4398"/>
      <c r="E45" s="4399"/>
      <c r="F45" s="4400"/>
      <c r="G45" s="4346" t="s">
        <v>1988</v>
      </c>
      <c r="H45" s="4347"/>
      <c r="I45" s="4347"/>
      <c r="J45" s="4347"/>
      <c r="K45" s="4347"/>
      <c r="L45" s="4348"/>
      <c r="M45" s="1733">
        <f>ROUND(290*(1-$G$71),2)</f>
        <v>290</v>
      </c>
    </row>
    <row r="46" spans="1:13" s="789" customFormat="1" x14ac:dyDescent="0.25">
      <c r="A46" s="4414" t="s">
        <v>1989</v>
      </c>
      <c r="B46" s="4405"/>
      <c r="C46" s="4326" t="s">
        <v>1990</v>
      </c>
      <c r="D46" s="4421" t="s">
        <v>1972</v>
      </c>
      <c r="E46" s="4422"/>
      <c r="F46" s="4423" t="s">
        <v>1983</v>
      </c>
      <c r="G46" s="4321" t="s">
        <v>802</v>
      </c>
      <c r="H46" s="4321"/>
      <c r="I46" s="4321"/>
      <c r="J46" s="4321" t="s">
        <v>1231</v>
      </c>
      <c r="K46" s="4321"/>
      <c r="L46" s="4321"/>
      <c r="M46" s="4322">
        <f>ROUND(870*(1-$G$71),2)</f>
        <v>870</v>
      </c>
    </row>
    <row r="47" spans="1:13" s="789" customFormat="1" ht="33.75" customHeight="1" x14ac:dyDescent="0.25">
      <c r="A47" s="4414"/>
      <c r="B47" s="4405"/>
      <c r="C47" s="4326"/>
      <c r="D47" s="4392"/>
      <c r="E47" s="4382"/>
      <c r="F47" s="4423"/>
      <c r="G47" s="4321"/>
      <c r="H47" s="4321"/>
      <c r="I47" s="4321"/>
      <c r="J47" s="4321"/>
      <c r="K47" s="4321"/>
      <c r="L47" s="4321"/>
      <c r="M47" s="4322"/>
    </row>
    <row r="48" spans="1:13" s="789" customFormat="1" ht="51" customHeight="1" x14ac:dyDescent="0.25">
      <c r="A48" s="1197" t="s">
        <v>1243</v>
      </c>
      <c r="B48" s="1578"/>
      <c r="C48" s="1575" t="s">
        <v>1244</v>
      </c>
      <c r="D48" s="4363" t="s">
        <v>1245</v>
      </c>
      <c r="E48" s="4364"/>
      <c r="F48" s="4364"/>
      <c r="G48" s="4364"/>
      <c r="H48" s="4364"/>
      <c r="I48" s="4364"/>
      <c r="J48" s="4364"/>
      <c r="K48" s="4364"/>
      <c r="L48" s="4365"/>
      <c r="M48" s="1734">
        <f>ROUND(160*(1-$G$71),2)</f>
        <v>160</v>
      </c>
    </row>
    <row r="49" spans="1:13" s="789" customFormat="1" ht="24.75" customHeight="1" x14ac:dyDescent="0.25">
      <c r="A49" s="4414" t="s">
        <v>1246</v>
      </c>
      <c r="B49" s="4415"/>
      <c r="C49" s="1580" t="s">
        <v>1991</v>
      </c>
      <c r="D49" s="4406" t="s">
        <v>1247</v>
      </c>
      <c r="E49" s="4407"/>
      <c r="F49" s="4408"/>
      <c r="G49" s="4334" t="s">
        <v>1248</v>
      </c>
      <c r="H49" s="4335"/>
      <c r="I49" s="4335"/>
      <c r="J49" s="4335"/>
      <c r="K49" s="4335"/>
      <c r="L49" s="4336"/>
      <c r="M49" s="1734">
        <f>ROUND(1120*(1-$G$71),2)</f>
        <v>1120</v>
      </c>
    </row>
    <row r="50" spans="1:13" ht="30" customHeight="1" x14ac:dyDescent="0.2">
      <c r="A50" s="4414"/>
      <c r="B50" s="4416"/>
      <c r="C50" s="1572" t="s">
        <v>1992</v>
      </c>
      <c r="D50" s="4417"/>
      <c r="E50" s="4418"/>
      <c r="F50" s="4419"/>
      <c r="G50" s="4385"/>
      <c r="H50" s="4386"/>
      <c r="I50" s="4386"/>
      <c r="J50" s="4386"/>
      <c r="K50" s="4386"/>
      <c r="L50" s="4387"/>
      <c r="M50" s="1734">
        <f>ROUND(1400*(1-$G$71),2)</f>
        <v>1400</v>
      </c>
    </row>
    <row r="51" spans="1:13" ht="24" customHeight="1" x14ac:dyDescent="0.2">
      <c r="A51" s="4414"/>
      <c r="B51" s="4415"/>
      <c r="C51" s="1572" t="s">
        <v>1249</v>
      </c>
      <c r="D51" s="4420" t="s">
        <v>1065</v>
      </c>
      <c r="E51" s="4420"/>
      <c r="F51" s="4420"/>
      <c r="G51" s="4321" t="s">
        <v>1248</v>
      </c>
      <c r="H51" s="4321"/>
      <c r="I51" s="4321"/>
      <c r="J51" s="4321"/>
      <c r="K51" s="4321"/>
      <c r="L51" s="4321"/>
      <c r="M51" s="1734">
        <f>ROUND(1040*(1-$G$71),2)</f>
        <v>1040</v>
      </c>
    </row>
    <row r="52" spans="1:13" s="789" customFormat="1" ht="25.5" customHeight="1" x14ac:dyDescent="0.25">
      <c r="A52" s="4414"/>
      <c r="B52" s="4416"/>
      <c r="C52" s="1575" t="s">
        <v>1250</v>
      </c>
      <c r="D52" s="4420"/>
      <c r="E52" s="4420"/>
      <c r="F52" s="4420"/>
      <c r="G52" s="4321"/>
      <c r="H52" s="4321"/>
      <c r="I52" s="4321"/>
      <c r="J52" s="4321"/>
      <c r="K52" s="4321"/>
      <c r="L52" s="4321"/>
      <c r="M52" s="1734">
        <f>ROUND(1840*(1-$G$71),2)</f>
        <v>1840</v>
      </c>
    </row>
    <row r="53" spans="1:13" s="789" customFormat="1" ht="25.5" customHeight="1" x14ac:dyDescent="0.25">
      <c r="A53" s="4414" t="s">
        <v>1246</v>
      </c>
      <c r="B53" s="4405"/>
      <c r="C53" s="4326" t="s">
        <v>1251</v>
      </c>
      <c r="D53" s="4406" t="s">
        <v>1247</v>
      </c>
      <c r="E53" s="4407"/>
      <c r="F53" s="4408"/>
      <c r="G53" s="4334" t="s">
        <v>1252</v>
      </c>
      <c r="H53" s="4335"/>
      <c r="I53" s="4335"/>
      <c r="J53" s="4335"/>
      <c r="K53" s="4335"/>
      <c r="L53" s="4336"/>
      <c r="M53" s="4412">
        <f>ROUND(400*(1-$G$71),2)</f>
        <v>400</v>
      </c>
    </row>
    <row r="54" spans="1:13" s="789" customFormat="1" ht="25.5" customHeight="1" x14ac:dyDescent="0.25">
      <c r="A54" s="4414"/>
      <c r="B54" s="4405"/>
      <c r="C54" s="4326"/>
      <c r="D54" s="4409"/>
      <c r="E54" s="4410"/>
      <c r="F54" s="4411"/>
      <c r="G54" s="4337"/>
      <c r="H54" s="4338"/>
      <c r="I54" s="4338"/>
      <c r="J54" s="4338"/>
      <c r="K54" s="4338"/>
      <c r="L54" s="4339"/>
      <c r="M54" s="4413"/>
    </row>
    <row r="55" spans="1:13" s="789" customFormat="1" ht="25.5" customHeight="1" x14ac:dyDescent="0.25">
      <c r="A55" s="4414" t="s">
        <v>1253</v>
      </c>
      <c r="B55" s="4405"/>
      <c r="C55" s="1199" t="s">
        <v>1993</v>
      </c>
      <c r="D55" s="4327" t="s">
        <v>1254</v>
      </c>
      <c r="E55" s="4327"/>
      <c r="F55" s="4327"/>
      <c r="G55" s="4334" t="s">
        <v>1255</v>
      </c>
      <c r="H55" s="4335"/>
      <c r="I55" s="4335"/>
      <c r="J55" s="4335"/>
      <c r="K55" s="4335"/>
      <c r="L55" s="4336"/>
      <c r="M55" s="1734">
        <f>ROUND(490*(1-$G$71),2)</f>
        <v>490</v>
      </c>
    </row>
    <row r="56" spans="1:13" ht="24.95" customHeight="1" x14ac:dyDescent="0.2">
      <c r="A56" s="4414"/>
      <c r="B56" s="4405"/>
      <c r="C56" s="1199" t="s">
        <v>1994</v>
      </c>
      <c r="D56" s="4327"/>
      <c r="E56" s="4327"/>
      <c r="F56" s="4327"/>
      <c r="G56" s="4337"/>
      <c r="H56" s="4338"/>
      <c r="I56" s="4338"/>
      <c r="J56" s="4338"/>
      <c r="K56" s="4338"/>
      <c r="L56" s="4339"/>
      <c r="M56" s="1734">
        <f>ROUND(540*(1-$G$71),2)</f>
        <v>540</v>
      </c>
    </row>
    <row r="57" spans="1:13" ht="47.25" customHeight="1" x14ac:dyDescent="0.2">
      <c r="A57" s="1576" t="s">
        <v>1256</v>
      </c>
      <c r="B57" s="1577"/>
      <c r="C57" s="1198" t="s">
        <v>1257</v>
      </c>
      <c r="D57" s="1200" t="s">
        <v>1258</v>
      </c>
      <c r="E57" s="1201" t="s">
        <v>1259</v>
      </c>
      <c r="F57" s="1201" t="s">
        <v>1260</v>
      </c>
      <c r="G57" s="4340" t="s">
        <v>1261</v>
      </c>
      <c r="H57" s="4341"/>
      <c r="I57" s="4341"/>
      <c r="J57" s="4341"/>
      <c r="K57" s="4341"/>
      <c r="L57" s="4342"/>
      <c r="M57" s="1734">
        <f>ROUND(1680*(1-$G$71),2)</f>
        <v>1680</v>
      </c>
    </row>
    <row r="58" spans="1:13" ht="47.25" customHeight="1" x14ac:dyDescent="0.2">
      <c r="A58" s="1576" t="s">
        <v>1262</v>
      </c>
      <c r="B58" s="1577"/>
      <c r="C58" s="1572" t="s">
        <v>1263</v>
      </c>
      <c r="D58" s="1573" t="s">
        <v>1264</v>
      </c>
      <c r="E58" s="4327" t="s">
        <v>1265</v>
      </c>
      <c r="F58" s="4327"/>
      <c r="G58" s="4340" t="s">
        <v>1995</v>
      </c>
      <c r="H58" s="4341"/>
      <c r="I58" s="4341"/>
      <c r="J58" s="4341"/>
      <c r="K58" s="4341"/>
      <c r="L58" s="4342"/>
      <c r="M58" s="1734">
        <f>ROUND(2560*(1-$G$71),2)</f>
        <v>2560</v>
      </c>
    </row>
    <row r="59" spans="1:13" ht="47.25" customHeight="1" x14ac:dyDescent="0.2">
      <c r="A59" s="1576" t="s">
        <v>1266</v>
      </c>
      <c r="B59" s="1577"/>
      <c r="C59" s="1198" t="s">
        <v>1267</v>
      </c>
      <c r="D59" s="1200" t="s">
        <v>1264</v>
      </c>
      <c r="E59" s="1201" t="s">
        <v>1268</v>
      </c>
      <c r="F59" s="1201" t="s">
        <v>1269</v>
      </c>
      <c r="G59" s="4340" t="s">
        <v>1270</v>
      </c>
      <c r="H59" s="4341"/>
      <c r="I59" s="4341"/>
      <c r="J59" s="4341"/>
      <c r="K59" s="4341"/>
      <c r="L59" s="4342"/>
      <c r="M59" s="1734">
        <f>ROUND(1920*(1-$G$71),2)</f>
        <v>1920</v>
      </c>
    </row>
    <row r="60" spans="1:13" ht="32.25" customHeight="1" x14ac:dyDescent="0.2">
      <c r="A60" s="4414" t="s">
        <v>1996</v>
      </c>
      <c r="B60" s="4405"/>
      <c r="C60" s="4427" t="s">
        <v>1271</v>
      </c>
      <c r="D60" s="4421" t="s">
        <v>1272</v>
      </c>
      <c r="E60" s="4428"/>
      <c r="F60" s="4422"/>
      <c r="G60" s="4334" t="s">
        <v>1273</v>
      </c>
      <c r="H60" s="4335"/>
      <c r="I60" s="4335"/>
      <c r="J60" s="4335"/>
      <c r="K60" s="4335"/>
      <c r="L60" s="4336"/>
      <c r="M60" s="4412">
        <f>ROUND(21600*(1-$G$71),2)</f>
        <v>21600</v>
      </c>
    </row>
    <row r="61" spans="1:13" x14ac:dyDescent="0.2">
      <c r="A61" s="4414"/>
      <c r="B61" s="4405"/>
      <c r="C61" s="4376"/>
      <c r="D61" s="4392"/>
      <c r="E61" s="4381"/>
      <c r="F61" s="4382"/>
      <c r="G61" s="4337"/>
      <c r="H61" s="4338"/>
      <c r="I61" s="4338"/>
      <c r="J61" s="4338"/>
      <c r="K61" s="4338"/>
      <c r="L61" s="4339"/>
      <c r="M61" s="4413"/>
    </row>
    <row r="62" spans="1:13" ht="51" x14ac:dyDescent="0.2">
      <c r="A62" s="1576" t="s">
        <v>1997</v>
      </c>
      <c r="B62" s="1577"/>
      <c r="C62" s="1575" t="s">
        <v>1998</v>
      </c>
      <c r="D62" s="4363"/>
      <c r="E62" s="4364"/>
      <c r="F62" s="4365"/>
      <c r="G62" s="4340" t="s">
        <v>1999</v>
      </c>
      <c r="H62" s="4341"/>
      <c r="I62" s="4341"/>
      <c r="J62" s="4341"/>
      <c r="K62" s="4341"/>
      <c r="L62" s="4342"/>
      <c r="M62" s="1734">
        <f>ROUND(23360*(1-$G$71),2)</f>
        <v>23360</v>
      </c>
    </row>
    <row r="63" spans="1:13" ht="76.5" customHeight="1" x14ac:dyDescent="0.2">
      <c r="A63" s="1576" t="s">
        <v>2000</v>
      </c>
      <c r="B63" s="1577"/>
      <c r="C63" s="1572" t="s">
        <v>1274</v>
      </c>
      <c r="D63" s="4363" t="s">
        <v>1275</v>
      </c>
      <c r="E63" s="4364"/>
      <c r="F63" s="4365"/>
      <c r="G63" s="4340" t="s">
        <v>1276</v>
      </c>
      <c r="H63" s="4341"/>
      <c r="I63" s="4341"/>
      <c r="J63" s="4341"/>
      <c r="K63" s="4341"/>
      <c r="L63" s="4342"/>
      <c r="M63" s="1734">
        <f>ROUND(25360*(1-$G$71),2)</f>
        <v>25360</v>
      </c>
    </row>
    <row r="64" spans="1:13" ht="57.75" customHeight="1" x14ac:dyDescent="0.2">
      <c r="A64" s="1576" t="s">
        <v>1277</v>
      </c>
      <c r="B64" s="1577"/>
      <c r="C64" s="1572" t="s">
        <v>1278</v>
      </c>
      <c r="D64" s="1573" t="s">
        <v>1258</v>
      </c>
      <c r="E64" s="4327" t="s">
        <v>1279</v>
      </c>
      <c r="F64" s="4327"/>
      <c r="G64" s="4340" t="s">
        <v>1280</v>
      </c>
      <c r="H64" s="4341"/>
      <c r="I64" s="4341"/>
      <c r="J64" s="4341"/>
      <c r="K64" s="4341"/>
      <c r="L64" s="4342"/>
      <c r="M64" s="1734">
        <f>ROUND(1120*(1-$G$71),2)</f>
        <v>1120</v>
      </c>
    </row>
    <row r="65" spans="1:18" s="789" customFormat="1" ht="26.25" customHeight="1" x14ac:dyDescent="0.25">
      <c r="A65" s="4424" t="s">
        <v>2001</v>
      </c>
      <c r="B65" s="4424"/>
      <c r="C65" s="4424"/>
      <c r="D65" s="4424"/>
      <c r="E65" s="4424"/>
      <c r="F65" s="4424"/>
      <c r="G65" s="4424"/>
      <c r="H65" s="4424"/>
      <c r="I65" s="4424"/>
      <c r="J65" s="4424"/>
      <c r="K65" s="4424"/>
      <c r="L65" s="4424"/>
    </row>
    <row r="66" spans="1:18" s="789" customFormat="1" ht="22.5" customHeight="1" x14ac:dyDescent="0.25">
      <c r="A66" s="4424"/>
      <c r="B66" s="4424"/>
      <c r="C66" s="4424"/>
      <c r="D66" s="4424"/>
      <c r="E66" s="4424"/>
      <c r="F66" s="4424"/>
      <c r="G66" s="4424"/>
      <c r="H66" s="4424"/>
      <c r="I66" s="4424"/>
      <c r="J66" s="4424"/>
      <c r="K66" s="4424"/>
      <c r="L66" s="4424"/>
    </row>
    <row r="67" spans="1:18" s="789" customFormat="1" x14ac:dyDescent="0.25">
      <c r="A67" s="4424"/>
      <c r="B67" s="4424"/>
      <c r="C67" s="4424"/>
      <c r="D67" s="4424"/>
      <c r="E67" s="4424"/>
      <c r="F67" s="4424"/>
      <c r="G67" s="4424"/>
      <c r="H67" s="4424"/>
      <c r="I67" s="4424"/>
      <c r="J67" s="4424"/>
      <c r="K67" s="4424"/>
      <c r="L67" s="4424"/>
    </row>
    <row r="68" spans="1:18" s="789" customFormat="1" ht="50.25" customHeight="1" x14ac:dyDescent="0.25">
      <c r="A68" s="4424"/>
      <c r="B68" s="4424"/>
      <c r="C68" s="4424"/>
      <c r="D68" s="4424"/>
      <c r="E68" s="4424"/>
      <c r="F68" s="4424"/>
      <c r="G68" s="4424"/>
      <c r="H68" s="4424"/>
      <c r="I68" s="4424"/>
      <c r="J68" s="4424"/>
      <c r="K68" s="4424"/>
      <c r="L68" s="4424"/>
    </row>
    <row r="69" spans="1:18" s="789" customFormat="1" ht="14.25" customHeight="1" x14ac:dyDescent="0.2">
      <c r="A69" s="786"/>
      <c r="B69" s="786"/>
      <c r="C69" s="786"/>
      <c r="D69" s="786"/>
      <c r="E69" s="786"/>
      <c r="F69" s="786"/>
      <c r="G69" s="786"/>
      <c r="H69" s="786"/>
      <c r="I69" s="786"/>
      <c r="J69" s="786"/>
      <c r="K69" s="786"/>
      <c r="L69" s="786"/>
      <c r="M69" s="786"/>
    </row>
    <row r="70" spans="1:18" s="789" customFormat="1" ht="50.25" customHeight="1" x14ac:dyDescent="0.2">
      <c r="A70" s="786"/>
      <c r="B70" s="786"/>
      <c r="C70" s="786"/>
      <c r="D70" s="786"/>
      <c r="E70" s="786"/>
      <c r="F70" s="786"/>
      <c r="G70" s="786"/>
      <c r="H70" s="786"/>
      <c r="I70" s="786"/>
      <c r="J70" s="786"/>
      <c r="K70" s="786"/>
      <c r="L70" s="786"/>
      <c r="M70" s="786"/>
    </row>
    <row r="71" spans="1:18" s="789" customFormat="1" ht="84.75" customHeight="1" x14ac:dyDescent="0.2">
      <c r="A71" s="3393" t="s">
        <v>949</v>
      </c>
      <c r="B71" s="3394"/>
      <c r="C71" s="3394"/>
      <c r="D71" s="3394"/>
      <c r="E71" s="3394"/>
      <c r="F71" s="3394"/>
      <c r="G71" s="4250">
        <v>0</v>
      </c>
      <c r="H71" s="4251"/>
      <c r="I71" s="4252"/>
      <c r="J71" s="786"/>
      <c r="K71" s="786"/>
      <c r="L71" s="786"/>
      <c r="M71" s="786"/>
    </row>
    <row r="72" spans="1:18" s="789" customFormat="1" ht="111.75" customHeight="1" x14ac:dyDescent="0.2">
      <c r="A72" s="786"/>
      <c r="B72" s="786"/>
      <c r="C72" s="787"/>
      <c r="D72" s="787"/>
      <c r="E72" s="786"/>
      <c r="F72" s="786"/>
      <c r="G72" s="786"/>
      <c r="H72" s="786"/>
      <c r="I72" s="786"/>
      <c r="J72" s="786"/>
      <c r="K72" s="786"/>
      <c r="L72" s="786"/>
      <c r="M72" s="786"/>
    </row>
    <row r="73" spans="1:18" s="789" customFormat="1" ht="75.75" customHeight="1" x14ac:dyDescent="0.2">
      <c r="A73" s="786"/>
      <c r="B73" s="786"/>
      <c r="C73" s="787"/>
      <c r="D73" s="787"/>
      <c r="E73" s="786"/>
      <c r="F73" s="786"/>
      <c r="G73" s="786"/>
      <c r="H73" s="786"/>
      <c r="I73" s="786"/>
      <c r="J73" s="786"/>
      <c r="K73" s="786"/>
      <c r="L73" s="786"/>
      <c r="M73" s="786"/>
      <c r="R73" s="396"/>
    </row>
    <row r="74" spans="1:18" s="789" customFormat="1" ht="58.5" customHeight="1" x14ac:dyDescent="0.2">
      <c r="A74" s="786"/>
      <c r="B74" s="786"/>
      <c r="C74" s="787"/>
      <c r="D74" s="787"/>
      <c r="E74" s="786"/>
      <c r="F74" s="786"/>
      <c r="G74" s="786"/>
      <c r="H74" s="786"/>
      <c r="I74" s="786"/>
      <c r="J74" s="786"/>
      <c r="K74" s="786"/>
      <c r="L74" s="786"/>
      <c r="M74" s="786"/>
    </row>
    <row r="75" spans="1:18" s="789" customFormat="1" ht="58.5" customHeight="1" x14ac:dyDescent="0.2">
      <c r="A75" s="786"/>
      <c r="B75" s="786"/>
      <c r="C75" s="787"/>
      <c r="D75" s="787"/>
      <c r="E75" s="786"/>
      <c r="F75" s="786"/>
      <c r="G75" s="786"/>
      <c r="H75" s="786"/>
      <c r="I75" s="786"/>
      <c r="J75" s="786"/>
      <c r="K75" s="786"/>
      <c r="L75" s="786"/>
      <c r="M75" s="786"/>
    </row>
    <row r="76" spans="1:18" s="789" customFormat="1" ht="78.75" customHeight="1" x14ac:dyDescent="0.2">
      <c r="A76" s="786"/>
      <c r="B76" s="786"/>
      <c r="C76" s="787"/>
      <c r="D76" s="787"/>
      <c r="E76" s="786"/>
      <c r="F76" s="786"/>
      <c r="G76" s="786"/>
      <c r="H76" s="786"/>
      <c r="I76" s="786"/>
      <c r="J76" s="786"/>
      <c r="K76" s="786"/>
      <c r="L76" s="786"/>
      <c r="M76" s="786"/>
    </row>
    <row r="77" spans="1:18" s="789" customFormat="1" ht="64.5" customHeight="1" x14ac:dyDescent="0.2">
      <c r="A77" s="786"/>
      <c r="B77" s="786"/>
      <c r="C77" s="787"/>
      <c r="D77" s="787"/>
      <c r="E77" s="786"/>
      <c r="F77" s="786"/>
      <c r="G77" s="786"/>
      <c r="H77" s="786"/>
      <c r="I77" s="786"/>
      <c r="J77" s="786"/>
      <c r="K77" s="786"/>
      <c r="L77" s="786"/>
      <c r="M77" s="786"/>
    </row>
    <row r="78" spans="1:18" s="789" customFormat="1" ht="18.75" customHeight="1" x14ac:dyDescent="0.2">
      <c r="A78" s="786"/>
      <c r="B78" s="786"/>
      <c r="C78" s="787"/>
      <c r="D78" s="787"/>
      <c r="E78" s="786"/>
      <c r="F78" s="786"/>
      <c r="G78" s="786"/>
      <c r="H78" s="786"/>
      <c r="I78" s="786"/>
      <c r="J78" s="786"/>
      <c r="K78" s="786"/>
      <c r="L78" s="786"/>
      <c r="M78" s="786"/>
    </row>
    <row r="79" spans="1:18" s="789" customFormat="1" ht="18.75" customHeight="1" x14ac:dyDescent="0.2">
      <c r="A79" s="786"/>
      <c r="B79" s="786"/>
      <c r="C79" s="787"/>
      <c r="D79" s="787"/>
      <c r="E79" s="786"/>
      <c r="F79" s="786"/>
      <c r="G79" s="786"/>
      <c r="H79" s="786"/>
      <c r="I79" s="786"/>
      <c r="J79" s="786"/>
      <c r="K79" s="786"/>
      <c r="L79" s="786"/>
      <c r="M79" s="786"/>
    </row>
    <row r="80" spans="1:18" s="789" customFormat="1" ht="18.75" customHeight="1" x14ac:dyDescent="0.2">
      <c r="A80" s="786"/>
      <c r="B80" s="786"/>
      <c r="C80" s="787"/>
      <c r="D80" s="787"/>
      <c r="E80" s="786"/>
      <c r="F80" s="786"/>
      <c r="G80" s="786"/>
      <c r="H80" s="786"/>
      <c r="I80" s="786"/>
      <c r="J80" s="786"/>
      <c r="K80" s="786"/>
      <c r="L80" s="786"/>
      <c r="M80" s="786"/>
    </row>
    <row r="81" spans="1:13" ht="16.5" customHeight="1" x14ac:dyDescent="0.2"/>
    <row r="82" spans="1:13" ht="60" customHeight="1" x14ac:dyDescent="0.2"/>
    <row r="84" spans="1:13" s="789" customFormat="1" x14ac:dyDescent="0.2">
      <c r="A84" s="786"/>
      <c r="B84" s="786"/>
      <c r="C84" s="787"/>
      <c r="D84" s="787"/>
      <c r="E84" s="786"/>
      <c r="F84" s="786"/>
      <c r="G84" s="786"/>
      <c r="H84" s="786"/>
      <c r="I84" s="786"/>
      <c r="J84" s="786"/>
      <c r="K84" s="786"/>
      <c r="L84" s="786"/>
      <c r="M84" s="786"/>
    </row>
    <row r="88" spans="1:13" ht="60" customHeight="1" x14ac:dyDescent="0.2">
      <c r="B88" s="1159"/>
      <c r="C88" s="1159"/>
      <c r="D88" s="1159"/>
      <c r="E88" s="1159"/>
      <c r="F88" s="1159"/>
      <c r="G88" s="1159"/>
      <c r="H88" s="1159"/>
      <c r="I88" s="1159"/>
      <c r="J88" s="1159"/>
      <c r="K88" s="1159"/>
      <c r="L88" s="1159"/>
      <c r="M88" s="1159"/>
    </row>
    <row r="89" spans="1:13" x14ac:dyDescent="0.2">
      <c r="B89" s="791"/>
      <c r="C89" s="792"/>
      <c r="D89" s="792"/>
      <c r="E89" s="791"/>
      <c r="F89" s="791"/>
      <c r="G89" s="791"/>
      <c r="H89" s="791"/>
      <c r="I89" s="791"/>
      <c r="J89" s="791"/>
      <c r="K89" s="791"/>
      <c r="L89" s="791"/>
      <c r="M89" s="791"/>
    </row>
    <row r="104" spans="3:4" x14ac:dyDescent="0.2">
      <c r="C104" s="792"/>
      <c r="D104" s="792"/>
    </row>
  </sheetData>
  <mergeCells count="166">
    <mergeCell ref="A65:L68"/>
    <mergeCell ref="A1:M1"/>
    <mergeCell ref="A2:M2"/>
    <mergeCell ref="M60:M61"/>
    <mergeCell ref="D62:F62"/>
    <mergeCell ref="G62:L62"/>
    <mergeCell ref="D63:F63"/>
    <mergeCell ref="G63:L63"/>
    <mergeCell ref="E64:F64"/>
    <mergeCell ref="G64:L64"/>
    <mergeCell ref="G59:L59"/>
    <mergeCell ref="A60:A61"/>
    <mergeCell ref="B60:B61"/>
    <mergeCell ref="C60:C61"/>
    <mergeCell ref="D60:F61"/>
    <mergeCell ref="G60:L61"/>
    <mergeCell ref="A55:A56"/>
    <mergeCell ref="B55:B56"/>
    <mergeCell ref="D55:F56"/>
    <mergeCell ref="G55:L56"/>
    <mergeCell ref="G57:L57"/>
    <mergeCell ref="E58:F58"/>
    <mergeCell ref="G58:L58"/>
    <mergeCell ref="A53:A54"/>
    <mergeCell ref="B53:B54"/>
    <mergeCell ref="C53:C54"/>
    <mergeCell ref="D53:F54"/>
    <mergeCell ref="G53:L54"/>
    <mergeCell ref="M53:M54"/>
    <mergeCell ref="M46:M47"/>
    <mergeCell ref="D48:L48"/>
    <mergeCell ref="A49:A52"/>
    <mergeCell ref="B49:B50"/>
    <mergeCell ref="D49:F50"/>
    <mergeCell ref="G49:L50"/>
    <mergeCell ref="B51:B52"/>
    <mergeCell ref="D51:F52"/>
    <mergeCell ref="G51:L52"/>
    <mergeCell ref="A46:A47"/>
    <mergeCell ref="B46:B47"/>
    <mergeCell ref="C46:C47"/>
    <mergeCell ref="D46:E47"/>
    <mergeCell ref="F46:F47"/>
    <mergeCell ref="G46:I47"/>
    <mergeCell ref="J46:L47"/>
    <mergeCell ref="M41:M44"/>
    <mergeCell ref="G42:I42"/>
    <mergeCell ref="J42:L42"/>
    <mergeCell ref="G43:I43"/>
    <mergeCell ref="J43:L43"/>
    <mergeCell ref="G44:I44"/>
    <mergeCell ref="J44:L44"/>
    <mergeCell ref="G39:L39"/>
    <mergeCell ref="D40:E40"/>
    <mergeCell ref="G40:L40"/>
    <mergeCell ref="A41:A45"/>
    <mergeCell ref="B41:B44"/>
    <mergeCell ref="C41:C44"/>
    <mergeCell ref="D41:F44"/>
    <mergeCell ref="G41:I41"/>
    <mergeCell ref="J41:L41"/>
    <mergeCell ref="D45:F45"/>
    <mergeCell ref="A33:A40"/>
    <mergeCell ref="D39:E39"/>
    <mergeCell ref="G45:L45"/>
    <mergeCell ref="M33:M38"/>
    <mergeCell ref="G35:I35"/>
    <mergeCell ref="J35:L35"/>
    <mergeCell ref="G36:I36"/>
    <mergeCell ref="J36:L36"/>
    <mergeCell ref="G37:I38"/>
    <mergeCell ref="J37:L38"/>
    <mergeCell ref="B32:F32"/>
    <mergeCell ref="G32:L32"/>
    <mergeCell ref="B33:B38"/>
    <mergeCell ref="C33:C38"/>
    <mergeCell ref="D33:E38"/>
    <mergeCell ref="F33:F38"/>
    <mergeCell ref="G33:I34"/>
    <mergeCell ref="J33:L34"/>
    <mergeCell ref="B30:F30"/>
    <mergeCell ref="G30:L30"/>
    <mergeCell ref="B31:F31"/>
    <mergeCell ref="G31:L31"/>
    <mergeCell ref="M24:M25"/>
    <mergeCell ref="A26:A32"/>
    <mergeCell ref="B26:B28"/>
    <mergeCell ref="C26:C28"/>
    <mergeCell ref="D26:F28"/>
    <mergeCell ref="G26:I26"/>
    <mergeCell ref="J26:L26"/>
    <mergeCell ref="G27:I28"/>
    <mergeCell ref="J27:L28"/>
    <mergeCell ref="M27:M31"/>
    <mergeCell ref="J23:L23"/>
    <mergeCell ref="B24:B25"/>
    <mergeCell ref="C24:C25"/>
    <mergeCell ref="D24:E25"/>
    <mergeCell ref="F24:F25"/>
    <mergeCell ref="G24:I25"/>
    <mergeCell ref="J24:L25"/>
    <mergeCell ref="B29:F29"/>
    <mergeCell ref="G29:L29"/>
    <mergeCell ref="M18:M19"/>
    <mergeCell ref="A20:A25"/>
    <mergeCell ref="B20:B23"/>
    <mergeCell ref="C20:C23"/>
    <mergeCell ref="D20:F23"/>
    <mergeCell ref="G20:I20"/>
    <mergeCell ref="J20:L20"/>
    <mergeCell ref="M20:M23"/>
    <mergeCell ref="G21:I21"/>
    <mergeCell ref="J21:L21"/>
    <mergeCell ref="B18:B19"/>
    <mergeCell ref="C18:C19"/>
    <mergeCell ref="D18:E19"/>
    <mergeCell ref="F18:F19"/>
    <mergeCell ref="G18:I19"/>
    <mergeCell ref="J18:L19"/>
    <mergeCell ref="A13:A19"/>
    <mergeCell ref="B13:B17"/>
    <mergeCell ref="C13:C17"/>
    <mergeCell ref="D13:E17"/>
    <mergeCell ref="F13:F17"/>
    <mergeCell ref="G22:I22"/>
    <mergeCell ref="J22:L22"/>
    <mergeCell ref="G23:I23"/>
    <mergeCell ref="C11:C12"/>
    <mergeCell ref="D11:E12"/>
    <mergeCell ref="F11:F12"/>
    <mergeCell ref="M13:M17"/>
    <mergeCell ref="G14:I14"/>
    <mergeCell ref="J14:L14"/>
    <mergeCell ref="G15:I16"/>
    <mergeCell ref="J15:L16"/>
    <mergeCell ref="G17:I17"/>
    <mergeCell ref="J17:L17"/>
    <mergeCell ref="G11:I12"/>
    <mergeCell ref="J11:L12"/>
    <mergeCell ref="M11:M12"/>
    <mergeCell ref="G13:I13"/>
    <mergeCell ref="J13:L13"/>
    <mergeCell ref="A71:F71"/>
    <mergeCell ref="G71:I71"/>
    <mergeCell ref="A4:A5"/>
    <mergeCell ref="B4:B5"/>
    <mergeCell ref="C4:C5"/>
    <mergeCell ref="D4:F4"/>
    <mergeCell ref="G4:L5"/>
    <mergeCell ref="M4:M5"/>
    <mergeCell ref="D5:E5"/>
    <mergeCell ref="J6:L6"/>
    <mergeCell ref="M6:M10"/>
    <mergeCell ref="G7:I7"/>
    <mergeCell ref="J7:L7"/>
    <mergeCell ref="G8:I8"/>
    <mergeCell ref="J8:L8"/>
    <mergeCell ref="G9:I10"/>
    <mergeCell ref="J9:L10"/>
    <mergeCell ref="A6:A12"/>
    <mergeCell ref="B6:B10"/>
    <mergeCell ref="C6:C10"/>
    <mergeCell ref="D6:E10"/>
    <mergeCell ref="F6:F10"/>
    <mergeCell ref="G6:I6"/>
    <mergeCell ref="B11:B12"/>
  </mergeCells>
  <printOptions horizontalCentered="1"/>
  <pageMargins left="0" right="0" top="0" bottom="0" header="3.937007874015748E-2" footer="3.937007874015748E-2"/>
  <pageSetup scale="31" orientation="portrait" r:id="rId1"/>
  <headerFooter alignWithMargins="0">
    <oddFooter>&amp;R&amp;36Стр. &amp;P из  &amp;N
&amp;A</oddFooter>
  </headerFooter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80"/>
  <sheetViews>
    <sheetView topLeftCell="A28" zoomScale="40" zoomScaleNormal="40" zoomScaleSheetLayoutView="40" workbookViewId="0">
      <selection sqref="A1:C2"/>
    </sheetView>
  </sheetViews>
  <sheetFormatPr defaultRowHeight="11.25" x14ac:dyDescent="0.2"/>
  <cols>
    <col min="1" max="1" width="173.7109375" style="1879" customWidth="1"/>
    <col min="2" max="2" width="22" style="1879" customWidth="1"/>
    <col min="3" max="3" width="22.42578125" style="1879" customWidth="1"/>
    <col min="4" max="4" width="22.140625" style="1879" customWidth="1"/>
    <col min="5" max="5" width="24.5703125" style="1879" customWidth="1"/>
    <col min="6" max="6" width="14" style="2011" customWidth="1"/>
    <col min="7" max="7" width="13" style="1879" customWidth="1"/>
    <col min="8" max="8" width="14.5703125" style="1879" customWidth="1"/>
    <col min="9" max="9" width="10.140625" style="1879" customWidth="1"/>
    <col min="10" max="10" width="24.7109375" style="1879" customWidth="1"/>
    <col min="11" max="11" width="23.28515625" style="1879" customWidth="1"/>
    <col min="12" max="12" width="23.7109375" style="1879" customWidth="1"/>
    <col min="13" max="13" width="30" style="1879" customWidth="1"/>
    <col min="14" max="14" width="17.28515625" style="1879" customWidth="1"/>
    <col min="15" max="15" width="16.42578125" style="1879" customWidth="1"/>
    <col min="16" max="16" width="22.42578125" style="1879" customWidth="1"/>
    <col min="17" max="17" width="23.85546875" style="1879" customWidth="1"/>
    <col min="18" max="18" width="27.140625" style="1879" customWidth="1"/>
    <col min="19" max="19" width="26.28515625" style="1879" customWidth="1"/>
    <col min="20" max="20" width="24.42578125" style="1879" customWidth="1"/>
    <col min="21" max="16384" width="9.140625" style="1879"/>
  </cols>
  <sheetData>
    <row r="1" spans="1:20" x14ac:dyDescent="0.2">
      <c r="A1" s="4429"/>
      <c r="B1" s="4429"/>
      <c r="C1" s="4429"/>
      <c r="D1" s="4429"/>
      <c r="E1" s="4429"/>
      <c r="F1" s="4429"/>
      <c r="G1" s="4429"/>
      <c r="H1" s="4429"/>
      <c r="I1" s="4429"/>
      <c r="J1" s="4429"/>
      <c r="K1" s="4429"/>
      <c r="L1" s="4429"/>
      <c r="M1" s="4429"/>
      <c r="N1" s="4429"/>
      <c r="O1" s="4429"/>
      <c r="P1" s="4429"/>
      <c r="Q1" s="4429"/>
      <c r="R1" s="4429"/>
      <c r="S1" s="4429"/>
      <c r="T1" s="4429"/>
    </row>
    <row r="2" spans="1:20" x14ac:dyDescent="0.2">
      <c r="A2" s="4429"/>
      <c r="B2" s="4429"/>
      <c r="C2" s="4429"/>
      <c r="D2" s="4429"/>
      <c r="E2" s="4429"/>
      <c r="F2" s="4429"/>
      <c r="G2" s="4429"/>
      <c r="H2" s="4429"/>
      <c r="I2" s="4429"/>
      <c r="J2" s="4429"/>
      <c r="K2" s="4429"/>
      <c r="L2" s="4429"/>
      <c r="M2" s="4429"/>
      <c r="N2" s="4429"/>
      <c r="O2" s="4429"/>
      <c r="P2" s="4429"/>
      <c r="Q2" s="4429"/>
      <c r="R2" s="4429"/>
      <c r="S2" s="4429"/>
      <c r="T2" s="4429"/>
    </row>
    <row r="3" spans="1:20" x14ac:dyDescent="0.2">
      <c r="A3" s="4429"/>
      <c r="B3" s="4429"/>
      <c r="C3" s="4429"/>
      <c r="D3" s="4429"/>
      <c r="E3" s="4429"/>
      <c r="F3" s="4429"/>
      <c r="G3" s="4429"/>
      <c r="H3" s="4429"/>
      <c r="I3" s="4429"/>
      <c r="J3" s="4429"/>
      <c r="K3" s="4429"/>
      <c r="L3" s="4429"/>
      <c r="M3" s="4429"/>
      <c r="N3" s="4429"/>
      <c r="O3" s="4429"/>
      <c r="P3" s="4429"/>
      <c r="Q3" s="4429"/>
      <c r="R3" s="4429"/>
      <c r="S3" s="4429"/>
      <c r="T3" s="4429"/>
    </row>
    <row r="4" spans="1:20" x14ac:dyDescent="0.2">
      <c r="A4" s="4429"/>
      <c r="B4" s="4429"/>
      <c r="C4" s="4429"/>
      <c r="D4" s="4429"/>
      <c r="E4" s="4429"/>
      <c r="F4" s="4429"/>
      <c r="G4" s="4429"/>
      <c r="H4" s="4429"/>
      <c r="I4" s="4429"/>
      <c r="J4" s="4429"/>
      <c r="K4" s="4429"/>
      <c r="L4" s="4429"/>
      <c r="M4" s="4429"/>
      <c r="N4" s="4429"/>
      <c r="O4" s="4429"/>
      <c r="P4" s="4429"/>
      <c r="Q4" s="4429"/>
      <c r="R4" s="4429"/>
      <c r="S4" s="4429"/>
      <c r="T4" s="4429"/>
    </row>
    <row r="5" spans="1:20" x14ac:dyDescent="0.2">
      <c r="A5" s="4429"/>
      <c r="B5" s="4429"/>
      <c r="C5" s="4429"/>
      <c r="D5" s="4429"/>
      <c r="E5" s="4429"/>
      <c r="F5" s="4429"/>
      <c r="G5" s="4429"/>
      <c r="H5" s="4429"/>
      <c r="I5" s="4429"/>
      <c r="J5" s="4429"/>
      <c r="K5" s="4429"/>
      <c r="L5" s="4429"/>
      <c r="M5" s="4429"/>
      <c r="N5" s="4429"/>
      <c r="O5" s="4429"/>
      <c r="P5" s="4429"/>
      <c r="Q5" s="4429"/>
      <c r="R5" s="4429"/>
      <c r="S5" s="4429"/>
      <c r="T5" s="4429"/>
    </row>
    <row r="6" spans="1:20" x14ac:dyDescent="0.2">
      <c r="A6" s="4429"/>
      <c r="B6" s="4429"/>
      <c r="C6" s="4429"/>
      <c r="D6" s="4429"/>
      <c r="E6" s="4429"/>
      <c r="F6" s="4429"/>
      <c r="G6" s="4429"/>
      <c r="H6" s="4429"/>
      <c r="I6" s="4429"/>
      <c r="J6" s="4429"/>
      <c r="K6" s="4429"/>
      <c r="L6" s="4429"/>
      <c r="M6" s="4429"/>
      <c r="N6" s="4429"/>
      <c r="O6" s="4429"/>
      <c r="P6" s="4429"/>
      <c r="Q6" s="4429"/>
      <c r="R6" s="4429"/>
      <c r="S6" s="4429"/>
      <c r="T6" s="4429"/>
    </row>
    <row r="7" spans="1:20" x14ac:dyDescent="0.2">
      <c r="A7" s="4429"/>
      <c r="B7" s="4429"/>
      <c r="C7" s="4429"/>
      <c r="D7" s="4429"/>
      <c r="E7" s="4429"/>
      <c r="F7" s="4429"/>
      <c r="G7" s="4429"/>
      <c r="H7" s="4429"/>
      <c r="I7" s="4429"/>
      <c r="J7" s="4429"/>
      <c r="K7" s="4429"/>
      <c r="L7" s="4429"/>
      <c r="M7" s="4429"/>
      <c r="N7" s="4429"/>
      <c r="O7" s="4429"/>
      <c r="P7" s="4429"/>
      <c r="Q7" s="4429"/>
      <c r="R7" s="4429"/>
      <c r="S7" s="4429"/>
      <c r="T7" s="4429"/>
    </row>
    <row r="8" spans="1:20" x14ac:dyDescent="0.2">
      <c r="A8" s="4429"/>
      <c r="B8" s="4429"/>
      <c r="C8" s="4429"/>
      <c r="D8" s="4429"/>
      <c r="E8" s="4429"/>
      <c r="F8" s="4429"/>
      <c r="G8" s="4429"/>
      <c r="H8" s="4429"/>
      <c r="I8" s="4429"/>
      <c r="J8" s="4429"/>
      <c r="K8" s="4429"/>
      <c r="L8" s="4429"/>
      <c r="M8" s="4429"/>
      <c r="N8" s="4429"/>
      <c r="O8" s="4429"/>
      <c r="P8" s="4429"/>
      <c r="Q8" s="4429"/>
      <c r="R8" s="4429"/>
      <c r="S8" s="4429"/>
      <c r="T8" s="4429"/>
    </row>
    <row r="9" spans="1:20" x14ac:dyDescent="0.2">
      <c r="A9" s="4429"/>
      <c r="B9" s="4429"/>
      <c r="C9" s="4429"/>
      <c r="D9" s="4429"/>
      <c r="E9" s="4429"/>
      <c r="F9" s="4429"/>
      <c r="G9" s="4429"/>
      <c r="H9" s="4429"/>
      <c r="I9" s="4429"/>
      <c r="J9" s="4429"/>
      <c r="K9" s="4429"/>
      <c r="L9" s="4429"/>
      <c r="M9" s="4429"/>
      <c r="N9" s="4429"/>
      <c r="O9" s="4429"/>
      <c r="P9" s="4429"/>
      <c r="Q9" s="4429"/>
      <c r="R9" s="4429"/>
      <c r="S9" s="4429"/>
      <c r="T9" s="4429"/>
    </row>
    <row r="10" spans="1:20" x14ac:dyDescent="0.2">
      <c r="A10" s="4429"/>
      <c r="B10" s="4429"/>
      <c r="C10" s="4429"/>
      <c r="D10" s="4429"/>
      <c r="E10" s="4429"/>
      <c r="F10" s="4429"/>
      <c r="G10" s="4429"/>
      <c r="H10" s="4429"/>
      <c r="I10" s="4429"/>
      <c r="J10" s="4429"/>
      <c r="K10" s="4429"/>
      <c r="L10" s="4429"/>
      <c r="M10" s="4429"/>
      <c r="N10" s="4429"/>
      <c r="O10" s="4429"/>
      <c r="P10" s="4429"/>
      <c r="Q10" s="4429"/>
      <c r="R10" s="4429"/>
      <c r="S10" s="4429"/>
      <c r="T10" s="4429"/>
    </row>
    <row r="11" spans="1:20" ht="47.25" customHeight="1" thickBot="1" x14ac:dyDescent="0.25">
      <c r="A11" s="4430"/>
      <c r="B11" s="4430"/>
      <c r="C11" s="4430"/>
      <c r="D11" s="4430"/>
      <c r="E11" s="4430"/>
      <c r="F11" s="4430"/>
      <c r="G11" s="4430"/>
      <c r="H11" s="4430"/>
      <c r="I11" s="4430"/>
      <c r="J11" s="4430"/>
      <c r="K11" s="4430"/>
      <c r="L11" s="4430"/>
      <c r="M11" s="4430"/>
      <c r="N11" s="4430"/>
      <c r="O11" s="4430"/>
      <c r="P11" s="4430"/>
      <c r="Q11" s="4430"/>
      <c r="R11" s="4430"/>
      <c r="S11" s="4430"/>
      <c r="T11" s="4430"/>
    </row>
    <row r="12" spans="1:20" ht="42" customHeight="1" x14ac:dyDescent="0.5">
      <c r="A12" s="4431" t="s">
        <v>2933</v>
      </c>
      <c r="B12" s="4431"/>
      <c r="C12" s="4431"/>
      <c r="D12" s="4431"/>
      <c r="E12" s="4431"/>
      <c r="F12" s="4431"/>
      <c r="G12" s="4431"/>
      <c r="H12" s="4431"/>
      <c r="I12" s="4431"/>
      <c r="J12" s="4431"/>
      <c r="K12" s="4431"/>
      <c r="L12" s="4431"/>
      <c r="M12" s="4431"/>
      <c r="N12" s="4431"/>
      <c r="O12" s="4431"/>
      <c r="P12" s="4431"/>
      <c r="Q12" s="4431"/>
      <c r="R12" s="4431"/>
      <c r="S12" s="4431"/>
    </row>
    <row r="13" spans="1:20" ht="22.5" customHeight="1" x14ac:dyDescent="0.35">
      <c r="A13" s="1958"/>
      <c r="B13" s="1959"/>
      <c r="C13" s="1959"/>
      <c r="D13" s="1960"/>
      <c r="E13" s="430"/>
      <c r="F13" s="1961"/>
      <c r="G13" s="1961"/>
      <c r="H13" s="1961"/>
      <c r="I13" s="1962"/>
      <c r="J13" s="1962"/>
      <c r="K13" s="1962"/>
      <c r="L13" s="1962"/>
      <c r="M13" s="1962"/>
      <c r="Q13" s="1963"/>
      <c r="R13" s="1964" t="s">
        <v>1</v>
      </c>
      <c r="T13" s="1965">
        <v>42450</v>
      </c>
    </row>
    <row r="14" spans="1:20" s="1966" customFormat="1" ht="26.25" x14ac:dyDescent="0.4">
      <c r="A14" s="4432" t="s">
        <v>1281</v>
      </c>
      <c r="B14" s="4432"/>
      <c r="C14" s="4432"/>
      <c r="D14" s="4432"/>
      <c r="E14" s="4432"/>
      <c r="F14" s="4432"/>
      <c r="G14" s="4432"/>
      <c r="H14" s="4432"/>
      <c r="I14" s="4432"/>
      <c r="J14" s="4432"/>
      <c r="K14" s="4432"/>
      <c r="L14" s="4432"/>
      <c r="M14" s="4432"/>
      <c r="N14" s="4432"/>
      <c r="O14" s="4432"/>
      <c r="P14" s="4432"/>
      <c r="Q14" s="4432"/>
      <c r="R14" s="4432"/>
      <c r="S14" s="4432"/>
      <c r="T14" s="4432"/>
    </row>
    <row r="15" spans="1:20" s="1966" customFormat="1" ht="26.25" x14ac:dyDescent="0.4">
      <c r="A15" s="1967" t="s">
        <v>101</v>
      </c>
      <c r="B15" s="4433">
        <v>1</v>
      </c>
      <c r="C15" s="4433"/>
      <c r="D15" s="4433"/>
      <c r="E15" s="1968">
        <v>2</v>
      </c>
      <c r="F15" s="4433">
        <v>3</v>
      </c>
      <c r="G15" s="4433"/>
      <c r="H15" s="4433">
        <v>4</v>
      </c>
      <c r="I15" s="4433"/>
      <c r="J15" s="4434">
        <v>5</v>
      </c>
      <c r="K15" s="4434"/>
      <c r="L15" s="4434"/>
      <c r="M15" s="1968">
        <v>6</v>
      </c>
      <c r="N15" s="1968">
        <v>7</v>
      </c>
      <c r="O15" s="1968">
        <v>8</v>
      </c>
      <c r="P15" s="1968">
        <v>9</v>
      </c>
      <c r="Q15" s="1968">
        <v>10</v>
      </c>
      <c r="R15" s="1968">
        <v>11</v>
      </c>
      <c r="S15" s="1968">
        <v>12</v>
      </c>
      <c r="T15" s="1968">
        <v>13</v>
      </c>
    </row>
    <row r="16" spans="1:20" s="1966" customFormat="1" ht="26.25" x14ac:dyDescent="0.4">
      <c r="A16" s="1967" t="s">
        <v>1282</v>
      </c>
      <c r="B16" s="4437" t="s">
        <v>1283</v>
      </c>
      <c r="C16" s="4437"/>
      <c r="D16" s="4437"/>
      <c r="E16" s="1969" t="s">
        <v>1284</v>
      </c>
      <c r="F16" s="4437" t="s">
        <v>1285</v>
      </c>
      <c r="G16" s="4437"/>
      <c r="H16" s="4437" t="s">
        <v>1286</v>
      </c>
      <c r="I16" s="4437"/>
      <c r="J16" s="4438" t="s">
        <v>1287</v>
      </c>
      <c r="K16" s="4438"/>
      <c r="L16" s="4438"/>
      <c r="M16" s="1969" t="s">
        <v>1288</v>
      </c>
      <c r="N16" s="1969" t="s">
        <v>1289</v>
      </c>
      <c r="O16" s="1969" t="s">
        <v>1290</v>
      </c>
      <c r="P16" s="1969" t="s">
        <v>1291</v>
      </c>
      <c r="Q16" s="1969" t="s">
        <v>1292</v>
      </c>
      <c r="R16" s="1969" t="s">
        <v>1293</v>
      </c>
      <c r="S16" s="1969" t="s">
        <v>1294</v>
      </c>
      <c r="T16" s="1969" t="s">
        <v>1295</v>
      </c>
    </row>
    <row r="17" spans="1:20" s="1966" customFormat="1" ht="25.5" x14ac:dyDescent="0.35">
      <c r="A17" s="1970" t="s">
        <v>1296</v>
      </c>
      <c r="B17" s="4435">
        <f>ROUND(11650*(1-$B$79),2)</f>
        <v>11650</v>
      </c>
      <c r="C17" s="4435"/>
      <c r="D17" s="4435"/>
      <c r="E17" s="1971">
        <f>ROUND(13350*(1-$B$79),2)</f>
        <v>13350</v>
      </c>
      <c r="F17" s="4435" t="str">
        <f>ROUND(14050*(1-$B$79),2)&amp;"*"</f>
        <v>14050*</v>
      </c>
      <c r="G17" s="4435"/>
      <c r="H17" s="4435" t="str">
        <f>ROUND(14800*(1-$B$79),2)&amp;"*"</f>
        <v>14800*</v>
      </c>
      <c r="I17" s="4435"/>
      <c r="J17" s="4436" t="str">
        <f>ROUND(14800*(1-$B$79),2)&amp;"*"</f>
        <v>14800*</v>
      </c>
      <c r="K17" s="4436"/>
      <c r="L17" s="4436"/>
      <c r="M17" s="1971">
        <f>ROUND(15700*(1-$B$79),2)</f>
        <v>15700</v>
      </c>
      <c r="N17" s="1971" t="str">
        <f>ROUND(17250*(1-$B$79),2)&amp;"*"</f>
        <v>17250*</v>
      </c>
      <c r="O17" s="1971">
        <f>ROUND(19900*(1-$B$79),2)</f>
        <v>19900</v>
      </c>
      <c r="P17" s="1971" t="str">
        <f>ROUND(18450*(1-$B$79),2)&amp;"*"</f>
        <v>18450*</v>
      </c>
      <c r="Q17" s="1971" t="str">
        <f>ROUND(19400*(1-$B$79),2)&amp;"*"</f>
        <v>19400*</v>
      </c>
      <c r="R17" s="1971">
        <f>ROUND(19400*(1-$B$79),2)</f>
        <v>19400</v>
      </c>
      <c r="S17" s="1971">
        <f>ROUND(22200*(1-$B$79),2)</f>
        <v>22200</v>
      </c>
      <c r="T17" s="1971">
        <f>ROUND(22200*(1-$B$79),2)</f>
        <v>22200</v>
      </c>
    </row>
    <row r="18" spans="1:20" s="1966" customFormat="1" ht="26.25" x14ac:dyDescent="0.35">
      <c r="A18" s="2187" t="s">
        <v>3199</v>
      </c>
      <c r="B18" s="4435">
        <f>ROUND(11200*(1-$B$79),2)</f>
        <v>11200</v>
      </c>
      <c r="C18" s="4435"/>
      <c r="D18" s="4435"/>
      <c r="E18" s="1971">
        <f>ROUND(12900*(1-$B$79),2)</f>
        <v>12900</v>
      </c>
      <c r="F18" s="4435" t="str">
        <f>ROUND(13500*(1-$B$79),2)&amp;"*"</f>
        <v>13500*</v>
      </c>
      <c r="G18" s="4435"/>
      <c r="H18" s="4435" t="str">
        <f>ROUND(14250*(1-$B$79),2)&amp;"*"</f>
        <v>14250*</v>
      </c>
      <c r="I18" s="4435"/>
      <c r="J18" s="4436" t="str">
        <f>ROUND(14250*(1-$B$79),2)&amp;"*"</f>
        <v>14250*</v>
      </c>
      <c r="K18" s="4436"/>
      <c r="L18" s="4436"/>
      <c r="M18" s="1971">
        <f>ROUND(15000*(1-$B$79),2)</f>
        <v>15000</v>
      </c>
      <c r="N18" s="1971" t="str">
        <f>ROUND(16550*(1-$B$79),2)&amp;"*"</f>
        <v>16550*</v>
      </c>
      <c r="O18" s="1971">
        <f>ROUND(19050*(1-$B$79),2)</f>
        <v>19050</v>
      </c>
      <c r="P18" s="1971" t="str">
        <f>ROUND(17600*(1-$B$79),2)&amp;"*"</f>
        <v>17600*</v>
      </c>
      <c r="Q18" s="1971" t="str">
        <f>ROUND(18550*(1-$B$79),2)&amp;"*"</f>
        <v>18550*</v>
      </c>
      <c r="R18" s="1971">
        <f>ROUND(18400*(1-$B$79),2)</f>
        <v>18400</v>
      </c>
      <c r="S18" s="1971">
        <f>ROUND(21200*(1-$B$79),2)</f>
        <v>21200</v>
      </c>
      <c r="T18" s="1971">
        <f>ROUND(21200*(1-$B$79),2)</f>
        <v>21200</v>
      </c>
    </row>
    <row r="19" spans="1:20" s="1966" customFormat="1" ht="25.5" x14ac:dyDescent="0.35">
      <c r="A19" s="1970" t="s">
        <v>1297</v>
      </c>
      <c r="B19" s="4435">
        <f>ROUND(16400*(1-B79),2)</f>
        <v>16400</v>
      </c>
      <c r="C19" s="4435"/>
      <c r="D19" s="4435"/>
      <c r="E19" s="1971">
        <f>ROUND(18800*(1-$B$79),2)</f>
        <v>18800</v>
      </c>
      <c r="F19" s="4435">
        <f>ROUND(19900*(1-$B$79),2)</f>
        <v>19900</v>
      </c>
      <c r="G19" s="4435"/>
      <c r="H19" s="4435">
        <f>ROUND(20800*(1-$B$79),2)</f>
        <v>20800</v>
      </c>
      <c r="I19" s="4435"/>
      <c r="J19" s="4436">
        <f>ROUND(20800*(1-$B$79),2)</f>
        <v>20800</v>
      </c>
      <c r="K19" s="4436"/>
      <c r="L19" s="4436"/>
      <c r="M19" s="1971">
        <f>ROUND(22200*(1-$B$79),2)</f>
        <v>22200</v>
      </c>
      <c r="N19" s="1971">
        <f>ROUND(24400*(1-$B$79),2)</f>
        <v>24400</v>
      </c>
      <c r="O19" s="1971">
        <f>ROUND(27500*(1-$B$79),2)</f>
        <v>27500</v>
      </c>
      <c r="P19" s="1971">
        <f>ROUND(26000*(1-$B$79),2)</f>
        <v>26000</v>
      </c>
      <c r="Q19" s="1971">
        <f>ROUND(27800*(1-$B$79),2)</f>
        <v>27800</v>
      </c>
      <c r="R19" s="1971">
        <f>ROUND(27300*(1-$B$79),2)</f>
        <v>27300</v>
      </c>
      <c r="S19" s="1971">
        <f>ROUND(30400*(1-$B$79),2)</f>
        <v>30400</v>
      </c>
      <c r="T19" s="1971">
        <f>ROUND(27800*(1-$B$79),2)</f>
        <v>27800</v>
      </c>
    </row>
    <row r="20" spans="1:20" s="1966" customFormat="1" ht="25.5" x14ac:dyDescent="0.35">
      <c r="A20" s="1970" t="s">
        <v>1298</v>
      </c>
      <c r="B20" s="4435">
        <f>ROUND(15400*(1-$B$79),2)</f>
        <v>15400</v>
      </c>
      <c r="C20" s="4435"/>
      <c r="D20" s="4435"/>
      <c r="E20" s="1971">
        <f>ROUND(17800*(1-$B$79),2)</f>
        <v>17800</v>
      </c>
      <c r="F20" s="4435">
        <f>ROUND(18900*(1-$B$79),2)</f>
        <v>18900</v>
      </c>
      <c r="G20" s="4435"/>
      <c r="H20" s="4435">
        <f>ROUND(19800*(1-$B$79),2)</f>
        <v>19800</v>
      </c>
      <c r="I20" s="4435"/>
      <c r="J20" s="4436">
        <f>ROUND(19800*(1-$B$79),2)</f>
        <v>19800</v>
      </c>
      <c r="K20" s="4436"/>
      <c r="L20" s="4436"/>
      <c r="M20" s="1971">
        <f>ROUND(21200*(1-$B$79),2)</f>
        <v>21200</v>
      </c>
      <c r="N20" s="1971">
        <f>ROUND(23400*(1-$B$79),2)</f>
        <v>23400</v>
      </c>
      <c r="O20" s="1971">
        <f>ROUND(26500*(1-$B$79),2)</f>
        <v>26500</v>
      </c>
      <c r="P20" s="1971">
        <f>ROUND(25000*(1-$B$79),2)</f>
        <v>25000</v>
      </c>
      <c r="Q20" s="1971">
        <f>ROUND(26800*(1-$B$79),2)</f>
        <v>26800</v>
      </c>
      <c r="R20" s="1971">
        <f>ROUND(26300*(1-$B$79),2)</f>
        <v>26300</v>
      </c>
      <c r="S20" s="1971">
        <f>ROUND(29400*(1-$B$79),2)</f>
        <v>29400</v>
      </c>
      <c r="T20" s="1971">
        <f>ROUND(26800*(1-$B$79),2)</f>
        <v>26800</v>
      </c>
    </row>
    <row r="21" spans="1:20" s="1966" customFormat="1" ht="25.5" x14ac:dyDescent="0.35">
      <c r="A21" s="1970" t="s">
        <v>1299</v>
      </c>
      <c r="B21" s="4435">
        <f>ROUND(62000*(1-$B$79),2)</f>
        <v>62000</v>
      </c>
      <c r="C21" s="4435"/>
      <c r="D21" s="4435"/>
      <c r="E21" s="1971">
        <f>ROUND(62900*(1-$B$79),2)</f>
        <v>62900</v>
      </c>
      <c r="F21" s="4441">
        <f>ROUND(64700*(1-$B$79),2)</f>
        <v>64700</v>
      </c>
      <c r="G21" s="4441"/>
      <c r="H21" s="4441">
        <f>ROUND(65900*(1-$B$79),2)</f>
        <v>65900</v>
      </c>
      <c r="I21" s="4441"/>
      <c r="J21" s="4442">
        <f>ROUND(65900*(1-$B$79),2)</f>
        <v>65900</v>
      </c>
      <c r="K21" s="4442"/>
      <c r="L21" s="4442"/>
      <c r="M21" s="1972">
        <f>ROUND(70000*(1-$B$79),2)</f>
        <v>70000</v>
      </c>
      <c r="N21" s="1972">
        <f>ROUND(71500*(1-$B$79),2)</f>
        <v>71500</v>
      </c>
      <c r="O21" s="1972">
        <f>ROUND(74900*(1-$B$79),2)</f>
        <v>74900</v>
      </c>
      <c r="P21" s="1972">
        <f>ROUND(74900*(1-$B$79),2)</f>
        <v>74900</v>
      </c>
      <c r="Q21" s="1972">
        <f>ROUND(76200*(1-$B$79),2)</f>
        <v>76200</v>
      </c>
      <c r="R21" s="1972">
        <f>ROUND(76000*(1-$B$79),2)</f>
        <v>76000</v>
      </c>
      <c r="S21" s="1972">
        <f>ROUND(80600*(1-$B$79),2)</f>
        <v>80600</v>
      </c>
      <c r="T21" s="1972">
        <f>ROUND(76000*(1-$B$79),2)</f>
        <v>76000</v>
      </c>
    </row>
    <row r="22" spans="1:20" s="1966" customFormat="1" ht="25.5" x14ac:dyDescent="0.35">
      <c r="A22" s="1970" t="s">
        <v>1300</v>
      </c>
      <c r="B22" s="4435">
        <f>ROUND(20000*(1-B79),2)</f>
        <v>20000</v>
      </c>
      <c r="C22" s="4435"/>
      <c r="D22" s="4435"/>
      <c r="E22" s="1971">
        <f>ROUND(21500*(1-$B$79),2)</f>
        <v>21500</v>
      </c>
      <c r="F22" s="4435">
        <f>ROUND(24100*(1-$B$79),2)</f>
        <v>24100</v>
      </c>
      <c r="G22" s="4435"/>
      <c r="H22" s="4435">
        <f>ROUND(25700*(1-$B$79),2)</f>
        <v>25700</v>
      </c>
      <c r="I22" s="4435"/>
      <c r="J22" s="4436">
        <f>ROUND(25700*(1-$B$79),2)</f>
        <v>25700</v>
      </c>
      <c r="K22" s="4436"/>
      <c r="L22" s="4436"/>
      <c r="M22" s="1971">
        <f>ROUND(28500*(1-$B$79),2)</f>
        <v>28500</v>
      </c>
      <c r="N22" s="1971">
        <f>ROUND(31000*(1-$B$79),2)</f>
        <v>31000</v>
      </c>
      <c r="O22" s="1973" t="s">
        <v>17</v>
      </c>
      <c r="P22" s="1971">
        <f>ROUND(33700*(1-$B$79),2)</f>
        <v>33700</v>
      </c>
      <c r="Q22" s="1971">
        <f>ROUND(36100*(1-$B$79),2)</f>
        <v>36100</v>
      </c>
      <c r="R22" s="1971">
        <f>ROUND(36100*(1-$B$79),2)</f>
        <v>36100</v>
      </c>
      <c r="S22" s="1971" t="str">
        <f>ROUND(39700*(1-$B$79),2)&amp;"*"</f>
        <v>39700*</v>
      </c>
      <c r="T22" s="1973" t="s">
        <v>17</v>
      </c>
    </row>
    <row r="23" spans="1:20" s="1966" customFormat="1" ht="25.5" x14ac:dyDescent="0.35">
      <c r="A23" s="1970" t="s">
        <v>1301</v>
      </c>
      <c r="B23" s="4439">
        <f>ROUND(21700*(1-B79),2)</f>
        <v>21700</v>
      </c>
      <c r="C23" s="4439"/>
      <c r="D23" s="4439"/>
      <c r="E23" s="1974">
        <f>ROUND(23900*(1-$B$79),2)</f>
        <v>23900</v>
      </c>
      <c r="F23" s="4439">
        <f>ROUND(25900*(1-$B$79),2)</f>
        <v>25900</v>
      </c>
      <c r="G23" s="4439"/>
      <c r="H23" s="4439">
        <f>ROUND(27900*(1-$B$79),2)</f>
        <v>27900</v>
      </c>
      <c r="I23" s="4439"/>
      <c r="J23" s="4440">
        <f>ROUND(27900*(1-$B$79),2)</f>
        <v>27900</v>
      </c>
      <c r="K23" s="4440"/>
      <c r="L23" s="4440"/>
      <c r="M23" s="1974">
        <f>ROUND(30400*(1-$B$79),2)</f>
        <v>30400</v>
      </c>
      <c r="N23" s="1974">
        <f>ROUND(334000*(1-$B$79),2)</f>
        <v>334000</v>
      </c>
      <c r="O23" s="1972" t="s">
        <v>17</v>
      </c>
      <c r="P23" s="1974">
        <f>ROUND(36100*(1-$B$79),2)</f>
        <v>36100</v>
      </c>
      <c r="Q23" s="1974">
        <f>ROUND(37600*(1-$B$79),2)</f>
        <v>37600</v>
      </c>
      <c r="R23" s="1974">
        <f>ROUND(37600*(1-$B$79),2)</f>
        <v>37600</v>
      </c>
      <c r="S23" s="1974">
        <f>ROUND(42400*(1-$B$79),2)</f>
        <v>42400</v>
      </c>
      <c r="T23" s="1972" t="s">
        <v>17</v>
      </c>
    </row>
    <row r="24" spans="1:20" s="1966" customFormat="1" ht="25.5" x14ac:dyDescent="0.35">
      <c r="A24" s="1970" t="s">
        <v>1302</v>
      </c>
      <c r="B24" s="4441" t="s">
        <v>17</v>
      </c>
      <c r="C24" s="4441"/>
      <c r="D24" s="4441"/>
      <c r="E24" s="1972" t="s">
        <v>17</v>
      </c>
      <c r="F24" s="4441" t="s">
        <v>17</v>
      </c>
      <c r="G24" s="4441"/>
      <c r="H24" s="4441" t="s">
        <v>17</v>
      </c>
      <c r="I24" s="4441"/>
      <c r="J24" s="4442" t="s">
        <v>17</v>
      </c>
      <c r="K24" s="4442"/>
      <c r="L24" s="4442"/>
      <c r="M24" s="1974">
        <f>ROUND(39100*(1-$B$79),2)</f>
        <v>39100</v>
      </c>
      <c r="N24" s="1974">
        <f>ROUND(42400*(1-$B$79),2)</f>
        <v>42400</v>
      </c>
      <c r="O24" s="1972" t="s">
        <v>17</v>
      </c>
      <c r="P24" s="1974">
        <f>ROUND(485000*(1-$B$79),2)</f>
        <v>485000</v>
      </c>
      <c r="Q24" s="1974">
        <f>ROUND(49800*(1-$B$79),2)</f>
        <v>49800</v>
      </c>
      <c r="R24" s="1974">
        <f>ROUND(52300*(1-$B$79),2)</f>
        <v>52300</v>
      </c>
      <c r="S24" s="1974">
        <f>ROUND(57000*(1-$B$79),2)</f>
        <v>57000</v>
      </c>
      <c r="T24" s="1972" t="s">
        <v>17</v>
      </c>
    </row>
    <row r="25" spans="1:20" s="1966" customFormat="1" ht="26.25" x14ac:dyDescent="0.4">
      <c r="A25" s="4443" t="s">
        <v>1303</v>
      </c>
      <c r="B25" s="4443"/>
      <c r="C25" s="4443"/>
      <c r="D25" s="4443"/>
      <c r="E25" s="4443"/>
      <c r="F25" s="4443"/>
      <c r="G25" s="4443"/>
      <c r="H25" s="4443"/>
      <c r="I25" s="4443"/>
      <c r="J25" s="4443"/>
      <c r="K25" s="4443"/>
      <c r="L25" s="4443"/>
      <c r="M25" s="4443"/>
      <c r="N25" s="4443"/>
      <c r="O25" s="4443"/>
      <c r="P25" s="4443"/>
      <c r="Q25" s="4443"/>
      <c r="R25" s="4443"/>
      <c r="S25" s="4443"/>
      <c r="T25" s="4443"/>
    </row>
    <row r="26" spans="1:20" s="1966" customFormat="1" ht="25.5" x14ac:dyDescent="0.35">
      <c r="A26" s="1970" t="s">
        <v>1304</v>
      </c>
      <c r="B26" s="4435">
        <f>ROUND(6050*(1-B79),2)</f>
        <v>6050</v>
      </c>
      <c r="C26" s="4435"/>
      <c r="D26" s="4435"/>
      <c r="E26" s="1971" t="str">
        <f>ROUND(6200*(1-$B$79),2)&amp;"*"</f>
        <v>6200*</v>
      </c>
      <c r="F26" s="4435" t="str">
        <f>ROUND(6400*(1-$B$79),2)&amp;"*"</f>
        <v>6400*</v>
      </c>
      <c r="G26" s="4435"/>
      <c r="H26" s="4435" t="str">
        <f>ROUND(6950*(1-$B$79),2)&amp;"*"</f>
        <v>6950*</v>
      </c>
      <c r="I26" s="4435"/>
      <c r="J26" s="4436" t="str">
        <f>ROUND(6950*(1-$B$79),2)&amp;"*"</f>
        <v>6950*</v>
      </c>
      <c r="K26" s="4436"/>
      <c r="L26" s="4436"/>
      <c r="M26" s="1971" t="str">
        <f>ROUND(7300*(1-$B$79),2)&amp;"*"</f>
        <v>7300*</v>
      </c>
      <c r="N26" s="1971" t="str">
        <f>ROUND(7700*(1-$B$79),2)&amp;"*"</f>
        <v>7700*</v>
      </c>
      <c r="O26" s="1971">
        <f>ROUND(8500*(1-B79),2)</f>
        <v>8500</v>
      </c>
      <c r="P26" s="1971" t="str">
        <f>ROUND(8250*(1-$B$79),2)&amp;"*"</f>
        <v>8250*</v>
      </c>
      <c r="Q26" s="1971" t="str">
        <f>ROUND(8700*(1-$B$79),2)&amp;"*"</f>
        <v>8700*</v>
      </c>
      <c r="R26" s="1971">
        <f>ROUND(8650*(1-B79),2)</f>
        <v>8650</v>
      </c>
      <c r="S26" s="1971">
        <f>ROUND(9150*(1-B79),2)</f>
        <v>9150</v>
      </c>
      <c r="T26" s="1971">
        <f>ROUND(9150*(1-B79),2)</f>
        <v>9150</v>
      </c>
    </row>
    <row r="27" spans="1:20" s="1966" customFormat="1" ht="25.5" x14ac:dyDescent="0.35">
      <c r="A27" s="1970" t="s">
        <v>1305</v>
      </c>
      <c r="B27" s="4439">
        <f>ROUND(4450*(1-B79),2)</f>
        <v>4450</v>
      </c>
      <c r="C27" s="4439"/>
      <c r="D27" s="4439"/>
      <c r="E27" s="1974">
        <f>ROUND(4650*(1-B79),2)</f>
        <v>4650</v>
      </c>
      <c r="F27" s="4439">
        <f>ROUND(4850*(1-B79),2)</f>
        <v>4850</v>
      </c>
      <c r="G27" s="4439"/>
      <c r="H27" s="4439">
        <f>ROUND(5250*(1-B79),2)</f>
        <v>5250</v>
      </c>
      <c r="I27" s="4439"/>
      <c r="J27" s="4440">
        <f>ROUND(5350*(1-B79),2)</f>
        <v>5350</v>
      </c>
      <c r="K27" s="4440"/>
      <c r="L27" s="4440"/>
      <c r="M27" s="1974">
        <f>ROUND(5550*(1-B79),2)</f>
        <v>5550</v>
      </c>
      <c r="N27" s="1974">
        <f>ROUND(6000*(1-B79),2)</f>
        <v>6000</v>
      </c>
      <c r="O27" s="1974">
        <f>ROUND(6450*(1-B79),2)</f>
        <v>6450</v>
      </c>
      <c r="P27" s="1974">
        <f>ROUND(6400*(1-B79),2)</f>
        <v>6400</v>
      </c>
      <c r="Q27" s="1974">
        <f>ROUND(6650*(1-B79),2)</f>
        <v>6650</v>
      </c>
      <c r="R27" s="1974">
        <f>ROUND(6600*(1-B79),2)</f>
        <v>6600</v>
      </c>
      <c r="S27" s="1974">
        <f>ROUND(6950*(1-B79),2)</f>
        <v>6950</v>
      </c>
      <c r="T27" s="1974">
        <f>ROUND(6500*(1-B79),2)</f>
        <v>6500</v>
      </c>
    </row>
    <row r="28" spans="1:20" s="1966" customFormat="1" ht="26.25" x14ac:dyDescent="0.4">
      <c r="A28" s="4443" t="s">
        <v>1306</v>
      </c>
      <c r="B28" s="4443"/>
      <c r="C28" s="4443"/>
      <c r="D28" s="4443"/>
      <c r="E28" s="4443"/>
      <c r="F28" s="4443"/>
      <c r="G28" s="4443"/>
      <c r="H28" s="4443"/>
      <c r="I28" s="4443"/>
      <c r="J28" s="4443"/>
      <c r="K28" s="4443"/>
      <c r="L28" s="4443"/>
      <c r="M28" s="4443"/>
      <c r="N28" s="4443"/>
      <c r="O28" s="4443"/>
      <c r="P28" s="4443"/>
      <c r="Q28" s="4443"/>
      <c r="R28" s="4443"/>
      <c r="S28" s="4443"/>
      <c r="T28" s="4443"/>
    </row>
    <row r="29" spans="1:20" s="1966" customFormat="1" ht="25.5" x14ac:dyDescent="0.2">
      <c r="A29" s="1970" t="s">
        <v>1307</v>
      </c>
      <c r="B29" s="4449" t="s">
        <v>17</v>
      </c>
      <c r="C29" s="4449"/>
      <c r="D29" s="4449"/>
      <c r="E29" s="1973" t="s">
        <v>17</v>
      </c>
      <c r="F29" s="4449">
        <f>ROUND(32900*(1-B79),2)</f>
        <v>32900</v>
      </c>
      <c r="G29" s="4449"/>
      <c r="H29" s="4449">
        <f>ROUND(39600*(1-B79),2)</f>
        <v>39600</v>
      </c>
      <c r="I29" s="4449"/>
      <c r="J29" s="4448" t="s">
        <v>17</v>
      </c>
      <c r="K29" s="4448"/>
      <c r="L29" s="4448"/>
      <c r="M29" s="1973">
        <f>ROUND(39600*(1-B79),2)</f>
        <v>39600</v>
      </c>
      <c r="N29" s="1973" t="s">
        <v>17</v>
      </c>
      <c r="O29" s="1973" t="s">
        <v>17</v>
      </c>
      <c r="P29" s="1973">
        <f>ROUND(56100*(1-B79),2)</f>
        <v>56100</v>
      </c>
      <c r="Q29" s="1973" t="s">
        <v>17</v>
      </c>
      <c r="R29" s="1973" t="s">
        <v>17</v>
      </c>
      <c r="S29" s="1973" t="s">
        <v>17</v>
      </c>
      <c r="T29" s="1973" t="s">
        <v>17</v>
      </c>
    </row>
    <row r="30" spans="1:20" s="1966" customFormat="1" ht="25.5" x14ac:dyDescent="0.35">
      <c r="A30" s="4444" t="s">
        <v>1308</v>
      </c>
      <c r="B30" s="4444"/>
      <c r="C30" s="4444"/>
      <c r="D30" s="4444"/>
      <c r="E30" s="4444"/>
      <c r="F30" s="1975">
        <f>ROUND(13700*(1-B79),2)</f>
        <v>13700</v>
      </c>
      <c r="G30" s="4445" t="s">
        <v>1309</v>
      </c>
      <c r="H30" s="4445"/>
      <c r="I30" s="4445"/>
      <c r="J30" s="4445"/>
      <c r="K30" s="4445"/>
      <c r="L30" s="4445"/>
      <c r="M30" s="4445"/>
      <c r="N30" s="4445"/>
      <c r="O30" s="4445"/>
      <c r="P30" s="4445"/>
      <c r="Q30" s="4445"/>
      <c r="R30" s="4445"/>
      <c r="S30" s="4445"/>
      <c r="T30" s="1976">
        <f>ROUND(11300*(1-B79),2)</f>
        <v>11300</v>
      </c>
    </row>
    <row r="31" spans="1:20" s="1966" customFormat="1" ht="25.5" x14ac:dyDescent="0.35">
      <c r="A31" s="4444" t="s">
        <v>1310</v>
      </c>
      <c r="B31" s="4444"/>
      <c r="C31" s="4444"/>
      <c r="D31" s="4444"/>
      <c r="E31" s="4444"/>
      <c r="F31" s="1977">
        <f>ROUND(17000*(1-B79),2)</f>
        <v>17000</v>
      </c>
      <c r="G31" s="4445" t="s">
        <v>1311</v>
      </c>
      <c r="H31" s="4445"/>
      <c r="I31" s="4445"/>
      <c r="J31" s="4445"/>
      <c r="K31" s="4445"/>
      <c r="L31" s="4445"/>
      <c r="M31" s="4445"/>
      <c r="N31" s="4445"/>
      <c r="O31" s="4445"/>
      <c r="P31" s="4445"/>
      <c r="Q31" s="4445"/>
      <c r="R31" s="4445"/>
      <c r="S31" s="4445"/>
      <c r="T31" s="1976">
        <f>ROUND(13100*(1-B79),2)</f>
        <v>13100</v>
      </c>
    </row>
    <row r="32" spans="1:20" s="1966" customFormat="1" ht="26.25" x14ac:dyDescent="0.4">
      <c r="A32" s="4443" t="s">
        <v>1312</v>
      </c>
      <c r="B32" s="4443"/>
      <c r="C32" s="4443"/>
      <c r="D32" s="4443"/>
      <c r="E32" s="4443"/>
      <c r="F32" s="4443"/>
      <c r="G32" s="4443"/>
      <c r="H32" s="4443"/>
      <c r="I32" s="4443"/>
      <c r="J32" s="4443"/>
      <c r="K32" s="4443"/>
      <c r="L32" s="4443"/>
      <c r="M32" s="4443"/>
      <c r="N32" s="4443"/>
      <c r="O32" s="4443"/>
      <c r="P32" s="4443"/>
      <c r="Q32" s="4443"/>
      <c r="R32" s="4443"/>
      <c r="S32" s="4443"/>
      <c r="T32" s="4443"/>
    </row>
    <row r="33" spans="1:20" s="1966" customFormat="1" ht="25.5" x14ac:dyDescent="0.35">
      <c r="A33" s="1970" t="s">
        <v>1313</v>
      </c>
      <c r="B33" s="4446" t="s">
        <v>17</v>
      </c>
      <c r="C33" s="4446"/>
      <c r="D33" s="4446"/>
      <c r="E33" s="1978" t="s">
        <v>17</v>
      </c>
      <c r="F33" s="4447">
        <f>ROUND(7100*(1-B79),2)</f>
        <v>7100</v>
      </c>
      <c r="G33" s="4447"/>
      <c r="H33" s="4435">
        <f>ROUND(7400*(1-B79),2)</f>
        <v>7400</v>
      </c>
      <c r="I33" s="4435"/>
      <c r="J33" s="4448" t="s">
        <v>17</v>
      </c>
      <c r="K33" s="4448"/>
      <c r="L33" s="4448"/>
      <c r="M33" s="1979">
        <f>ROUND(7500*(1-B79),2)</f>
        <v>7500</v>
      </c>
      <c r="N33" s="1973" t="s">
        <v>17</v>
      </c>
      <c r="O33" s="1973" t="s">
        <v>17</v>
      </c>
      <c r="P33" s="1979">
        <f>ROUND(8100*(1-B79),2)</f>
        <v>8100</v>
      </c>
      <c r="Q33" s="1973" t="s">
        <v>17</v>
      </c>
      <c r="R33" s="1978" t="s">
        <v>17</v>
      </c>
      <c r="S33" s="1978" t="s">
        <v>17</v>
      </c>
      <c r="T33" s="1978" t="s">
        <v>17</v>
      </c>
    </row>
    <row r="34" spans="1:20" s="1966" customFormat="1" ht="25.5" x14ac:dyDescent="0.35">
      <c r="A34" s="1970" t="s">
        <v>1314</v>
      </c>
      <c r="B34" s="4449" t="s">
        <v>17</v>
      </c>
      <c r="C34" s="4449"/>
      <c r="D34" s="4449"/>
      <c r="E34" s="1973" t="s">
        <v>17</v>
      </c>
      <c r="F34" s="4435">
        <f>ROUND(5200*(1-B79),2)</f>
        <v>5200</v>
      </c>
      <c r="G34" s="4435"/>
      <c r="H34" s="4435">
        <f>ROUND(5400*(1-B79),2)</f>
        <v>5400</v>
      </c>
      <c r="I34" s="4435"/>
      <c r="J34" s="4448" t="s">
        <v>17</v>
      </c>
      <c r="K34" s="4448"/>
      <c r="L34" s="4448"/>
      <c r="M34" s="1973">
        <f>ROUND(5800*(1-B79),2)</f>
        <v>5800</v>
      </c>
      <c r="N34" s="1973" t="s">
        <v>17</v>
      </c>
      <c r="O34" s="1973" t="s">
        <v>17</v>
      </c>
      <c r="P34" s="1973">
        <f>ROUND(6300*(1-B79),2)</f>
        <v>6300</v>
      </c>
      <c r="Q34" s="1973" t="s">
        <v>17</v>
      </c>
      <c r="R34" s="1973" t="s">
        <v>17</v>
      </c>
      <c r="S34" s="1973" t="s">
        <v>17</v>
      </c>
      <c r="T34" s="1973" t="s">
        <v>17</v>
      </c>
    </row>
    <row r="35" spans="1:20" s="1966" customFormat="1" ht="26.25" x14ac:dyDescent="0.4">
      <c r="A35" s="4443" t="s">
        <v>1315</v>
      </c>
      <c r="B35" s="4443"/>
      <c r="C35" s="4443"/>
      <c r="D35" s="4443"/>
      <c r="E35" s="4443"/>
      <c r="F35" s="4443"/>
      <c r="G35" s="4443"/>
      <c r="H35" s="4443"/>
      <c r="I35" s="4443"/>
      <c r="J35" s="4443"/>
      <c r="K35" s="4443"/>
      <c r="L35" s="4443"/>
      <c r="M35" s="4443"/>
      <c r="N35" s="4443"/>
      <c r="O35" s="4443"/>
      <c r="P35" s="4443"/>
      <c r="Q35" s="4443"/>
      <c r="R35" s="4443"/>
      <c r="S35" s="4443"/>
      <c r="T35" s="4443"/>
    </row>
    <row r="36" spans="1:20" s="1966" customFormat="1" ht="25.5" x14ac:dyDescent="0.2">
      <c r="A36" s="1970" t="s">
        <v>1316</v>
      </c>
      <c r="B36" s="4449">
        <f>ROUND(11900*(1-B79),2)</f>
        <v>11900</v>
      </c>
      <c r="C36" s="4449"/>
      <c r="D36" s="4449"/>
      <c r="E36" s="4449"/>
      <c r="F36" s="4449"/>
      <c r="G36" s="4449"/>
      <c r="H36" s="4449"/>
      <c r="I36" s="4449"/>
      <c r="J36" s="4449"/>
      <c r="K36" s="4449"/>
      <c r="L36" s="4449"/>
      <c r="M36" s="4449"/>
      <c r="N36" s="4449"/>
      <c r="O36" s="4449"/>
      <c r="P36" s="4449"/>
      <c r="Q36" s="4449"/>
      <c r="R36" s="4449"/>
      <c r="S36" s="4449"/>
      <c r="T36" s="4449"/>
    </row>
    <row r="37" spans="1:20" s="1966" customFormat="1" ht="25.5" x14ac:dyDescent="0.2">
      <c r="A37" s="1970" t="s">
        <v>1317</v>
      </c>
      <c r="B37" s="4449">
        <f>ROUND(7800*(1-B79),2)</f>
        <v>7800</v>
      </c>
      <c r="C37" s="4449"/>
      <c r="D37" s="4449"/>
      <c r="E37" s="4449"/>
      <c r="F37" s="4449"/>
      <c r="G37" s="4449"/>
      <c r="H37" s="4449"/>
      <c r="I37" s="4449"/>
      <c r="J37" s="4449"/>
      <c r="K37" s="4449"/>
      <c r="L37" s="4449"/>
      <c r="M37" s="4449"/>
      <c r="N37" s="4449"/>
      <c r="O37" s="4449"/>
      <c r="P37" s="4449"/>
      <c r="Q37" s="4449"/>
      <c r="R37" s="4449"/>
      <c r="S37" s="4449"/>
      <c r="T37" s="4449"/>
    </row>
    <row r="38" spans="1:20" s="1966" customFormat="1" ht="25.5" x14ac:dyDescent="0.2">
      <c r="A38" s="1970" t="s">
        <v>1318</v>
      </c>
      <c r="B38" s="4449">
        <f>ROUND(8400*(1-B79),2)</f>
        <v>8400</v>
      </c>
      <c r="C38" s="4449"/>
      <c r="D38" s="4449"/>
      <c r="E38" s="4449"/>
      <c r="F38" s="4449"/>
      <c r="G38" s="4449"/>
      <c r="H38" s="4449"/>
      <c r="I38" s="4449"/>
      <c r="J38" s="4449"/>
      <c r="K38" s="4449"/>
      <c r="L38" s="4449"/>
      <c r="M38" s="4449"/>
      <c r="N38" s="4449"/>
      <c r="O38" s="4449"/>
      <c r="P38" s="4449"/>
      <c r="Q38" s="4449"/>
      <c r="R38" s="4449"/>
      <c r="S38" s="4449"/>
      <c r="T38" s="4449"/>
    </row>
    <row r="39" spans="1:20" s="1966" customFormat="1" ht="25.5" x14ac:dyDescent="0.2">
      <c r="A39" s="1970" t="s">
        <v>1319</v>
      </c>
      <c r="B39" s="4449">
        <f>ROUND(3800*(1-B79),2)</f>
        <v>3800</v>
      </c>
      <c r="C39" s="4449"/>
      <c r="D39" s="4449"/>
      <c r="E39" s="4449"/>
      <c r="F39" s="4449"/>
      <c r="G39" s="4449"/>
      <c r="H39" s="4449"/>
      <c r="I39" s="4449"/>
      <c r="J39" s="4449"/>
      <c r="K39" s="4449"/>
      <c r="L39" s="4449"/>
      <c r="M39" s="4449"/>
      <c r="N39" s="4449"/>
      <c r="O39" s="4449"/>
      <c r="P39" s="4449"/>
      <c r="Q39" s="4449"/>
      <c r="R39" s="4449"/>
      <c r="S39" s="4449"/>
      <c r="T39" s="4449"/>
    </row>
    <row r="40" spans="1:20" s="1966" customFormat="1" ht="26.25" x14ac:dyDescent="0.4">
      <c r="A40" s="4443" t="s">
        <v>1320</v>
      </c>
      <c r="B40" s="4443"/>
      <c r="C40" s="4443"/>
      <c r="D40" s="4443"/>
      <c r="E40" s="4443"/>
      <c r="F40" s="4443"/>
      <c r="G40" s="4443"/>
      <c r="H40" s="4443"/>
      <c r="I40" s="4443"/>
      <c r="J40" s="4443"/>
      <c r="K40" s="4443"/>
      <c r="L40" s="4443"/>
      <c r="M40" s="4443"/>
      <c r="N40" s="4443"/>
      <c r="O40" s="4443"/>
      <c r="P40" s="4443"/>
      <c r="Q40" s="4443"/>
      <c r="R40" s="4443"/>
      <c r="S40" s="4443"/>
      <c r="T40" s="4443"/>
    </row>
    <row r="41" spans="1:20" s="1966" customFormat="1" ht="25.5" x14ac:dyDescent="0.35">
      <c r="A41" s="1970" t="s">
        <v>1321</v>
      </c>
      <c r="B41" s="4436">
        <f>ROUND(2900*(1-B79),2)</f>
        <v>2900</v>
      </c>
      <c r="C41" s="4463"/>
      <c r="D41" s="4463"/>
      <c r="E41" s="4463"/>
      <c r="F41" s="4463"/>
      <c r="G41" s="4463"/>
      <c r="H41" s="4463"/>
      <c r="I41" s="4463"/>
      <c r="J41" s="4463"/>
      <c r="K41" s="4463"/>
      <c r="L41" s="4463"/>
      <c r="M41" s="4463"/>
      <c r="N41" s="4463"/>
      <c r="O41" s="4463"/>
      <c r="P41" s="4463"/>
      <c r="Q41" s="4463"/>
      <c r="R41" s="4463"/>
      <c r="S41" s="4463"/>
      <c r="T41" s="4464"/>
    </row>
    <row r="42" spans="1:20" s="1966" customFormat="1" ht="25.5" x14ac:dyDescent="0.35">
      <c r="A42" s="1970" t="s">
        <v>1322</v>
      </c>
      <c r="B42" s="4436" t="str">
        <f>ROUND(1850*(1-B79),2)&amp;"*"</f>
        <v>1850*</v>
      </c>
      <c r="C42" s="4463"/>
      <c r="D42" s="4463"/>
      <c r="E42" s="4463"/>
      <c r="F42" s="4463"/>
      <c r="G42" s="4463"/>
      <c r="H42" s="4463"/>
      <c r="I42" s="4463"/>
      <c r="J42" s="4463"/>
      <c r="K42" s="4463"/>
      <c r="L42" s="4463"/>
      <c r="M42" s="4463"/>
      <c r="N42" s="4463"/>
      <c r="O42" s="4463"/>
      <c r="P42" s="4463"/>
      <c r="Q42" s="4463"/>
      <c r="R42" s="4463"/>
      <c r="S42" s="4463"/>
      <c r="T42" s="4464"/>
    </row>
    <row r="43" spans="1:20" s="1966" customFormat="1" ht="25.5" x14ac:dyDescent="0.35">
      <c r="A43" s="1970" t="s">
        <v>2934</v>
      </c>
      <c r="B43" s="4436">
        <f>ROUND(4650*(1-B79),2)</f>
        <v>4650</v>
      </c>
      <c r="C43" s="4463"/>
      <c r="D43" s="4463"/>
      <c r="E43" s="4463"/>
      <c r="F43" s="4463"/>
      <c r="G43" s="4463"/>
      <c r="H43" s="4463"/>
      <c r="I43" s="4463"/>
      <c r="J43" s="4463"/>
      <c r="K43" s="4463"/>
      <c r="L43" s="4463"/>
      <c r="M43" s="4463"/>
      <c r="N43" s="4463"/>
      <c r="O43" s="4463"/>
      <c r="P43" s="4463"/>
      <c r="Q43" s="4463"/>
      <c r="R43" s="4463"/>
      <c r="S43" s="4463"/>
      <c r="T43" s="4464"/>
    </row>
    <row r="44" spans="1:20" s="1966" customFormat="1" ht="25.5" x14ac:dyDescent="0.35">
      <c r="A44" s="1980" t="s">
        <v>1323</v>
      </c>
      <c r="B44" s="4440">
        <f>ROUND(2500*(1-B79),2)</f>
        <v>2500</v>
      </c>
      <c r="C44" s="4465"/>
      <c r="D44" s="4465"/>
      <c r="E44" s="4465"/>
      <c r="F44" s="4465"/>
      <c r="G44" s="4465"/>
      <c r="H44" s="4465"/>
      <c r="I44" s="4465"/>
      <c r="J44" s="4465"/>
      <c r="K44" s="4465"/>
      <c r="L44" s="4465"/>
      <c r="M44" s="4465"/>
      <c r="N44" s="4465"/>
      <c r="O44" s="4465"/>
      <c r="P44" s="4465"/>
      <c r="Q44" s="4465"/>
      <c r="R44" s="4465"/>
      <c r="S44" s="4465"/>
      <c r="T44" s="4466"/>
    </row>
    <row r="45" spans="1:20" s="1966" customFormat="1" ht="26.25" x14ac:dyDescent="0.4">
      <c r="A45" s="4432" t="s">
        <v>1324</v>
      </c>
      <c r="B45" s="4432"/>
      <c r="C45" s="4432"/>
      <c r="D45" s="4432"/>
      <c r="E45" s="4432"/>
      <c r="F45" s="4432"/>
      <c r="G45" s="4432"/>
      <c r="H45" s="4432"/>
      <c r="I45" s="4432"/>
      <c r="J45" s="4432"/>
      <c r="K45" s="4432"/>
      <c r="L45" s="4432"/>
      <c r="M45" s="4432"/>
      <c r="N45" s="4432"/>
      <c r="O45" s="4432"/>
      <c r="P45" s="4432"/>
      <c r="Q45" s="4432"/>
      <c r="R45" s="4432"/>
      <c r="S45" s="4432"/>
      <c r="T45" s="4432"/>
    </row>
    <row r="46" spans="1:20" s="1966" customFormat="1" ht="25.5" x14ac:dyDescent="0.35">
      <c r="A46" s="1970" t="s">
        <v>2478</v>
      </c>
      <c r="B46" s="4435">
        <f>ROUND(2250*(1-F79),2)</f>
        <v>2250</v>
      </c>
      <c r="C46" s="4435"/>
      <c r="D46" s="4435"/>
      <c r="E46" s="1971">
        <f>ROUND(2250*(1-F79),2)</f>
        <v>2250</v>
      </c>
      <c r="F46" s="4435">
        <f>ROUND(2650*(1-F79),2)</f>
        <v>2650</v>
      </c>
      <c r="G46" s="4435"/>
      <c r="H46" s="4435">
        <f>ROUND(2650*(1-F79),2)</f>
        <v>2650</v>
      </c>
      <c r="I46" s="4435"/>
      <c r="J46" s="4435">
        <f>ROUND(2950*(1-F79),2)</f>
        <v>2950</v>
      </c>
      <c r="K46" s="4435"/>
      <c r="L46" s="4435"/>
      <c r="M46" s="1971">
        <f>ROUND(2950*(1-F79),2)</f>
        <v>2950</v>
      </c>
      <c r="N46" s="1971">
        <f>ROUND(2950*(1-F79),2)</f>
        <v>2950</v>
      </c>
      <c r="O46" s="1971">
        <f>ROUND(2950*(1-F79),2)</f>
        <v>2950</v>
      </c>
      <c r="P46" s="1971">
        <f>ROUND(3500*(1-F79),2)</f>
        <v>3500</v>
      </c>
      <c r="Q46" s="1971">
        <f>ROUND(3500*(1-F79),2)</f>
        <v>3500</v>
      </c>
      <c r="R46" s="1971">
        <f>ROUND(3850*(1-F79),2)</f>
        <v>3850</v>
      </c>
      <c r="S46" s="1971">
        <f>ROUND(3850*(1-F79),2)</f>
        <v>3850</v>
      </c>
      <c r="T46" s="1971">
        <f>ROUND(3850*(1-F79),2)</f>
        <v>3850</v>
      </c>
    </row>
    <row r="47" spans="1:20" s="1966" customFormat="1" ht="25.5" x14ac:dyDescent="0.35">
      <c r="A47" s="1970" t="s">
        <v>2479</v>
      </c>
      <c r="B47" s="4439">
        <f>ROUND(4150*(1-F79),2)</f>
        <v>4150</v>
      </c>
      <c r="C47" s="4439"/>
      <c r="D47" s="4439"/>
      <c r="E47" s="1974">
        <f>ROUND(4400*(1-F79),2)</f>
        <v>4400</v>
      </c>
      <c r="F47" s="4439">
        <f>ROUND(4800*(1-F79),2)</f>
        <v>4800</v>
      </c>
      <c r="G47" s="4439"/>
      <c r="H47" s="4439">
        <f>ROUND(5150*(1-F79),2)</f>
        <v>5150</v>
      </c>
      <c r="I47" s="4439"/>
      <c r="J47" s="4439">
        <f>ROUND(5000*(1-F79),2)</f>
        <v>5000</v>
      </c>
      <c r="K47" s="4439"/>
      <c r="L47" s="4439"/>
      <c r="M47" s="1974">
        <f>ROUND(5350*(1-F79),2)</f>
        <v>5350</v>
      </c>
      <c r="N47" s="1974">
        <f>ROUND(5750*(1-F79),2)</f>
        <v>5750</v>
      </c>
      <c r="O47" s="1974" t="s">
        <v>17</v>
      </c>
      <c r="P47" s="1974">
        <f>ROUND(5900*(1-F79),2)</f>
        <v>5900</v>
      </c>
      <c r="Q47" s="1974">
        <f>ROUND(6450*(1-F79),2)</f>
        <v>6450</v>
      </c>
      <c r="R47" s="1974">
        <f>ROUND(6700*(1-F79),2)</f>
        <v>6700</v>
      </c>
      <c r="S47" s="1974">
        <f>ROUND(7000*(1-F79),2)</f>
        <v>7000</v>
      </c>
      <c r="T47" s="1974">
        <f>ROUND(6200*(1-F79),2)</f>
        <v>6200</v>
      </c>
    </row>
    <row r="48" spans="1:20" s="1966" customFormat="1" ht="25.5" x14ac:dyDescent="0.35">
      <c r="A48" s="1970" t="s">
        <v>2480</v>
      </c>
      <c r="B48" s="4435">
        <f>ROUND(6050*(1-F79),2)</f>
        <v>6050</v>
      </c>
      <c r="C48" s="4435"/>
      <c r="D48" s="4435"/>
      <c r="E48" s="1971">
        <f>ROUND(6450*(1-F79),2)</f>
        <v>6450</v>
      </c>
      <c r="F48" s="4435">
        <f>ROUND(7000*(1-F79),2)</f>
        <v>7000</v>
      </c>
      <c r="G48" s="4435"/>
      <c r="H48" s="4435">
        <f>ROUND(7550*(1-F79),2)</f>
        <v>7550</v>
      </c>
      <c r="I48" s="4435"/>
      <c r="J48" s="4435">
        <f>ROUND(7300*(1-F79),2)</f>
        <v>7300</v>
      </c>
      <c r="K48" s="4435"/>
      <c r="L48" s="4435"/>
      <c r="M48" s="1971">
        <f>ROUND(7850*(1-F79),2)</f>
        <v>7850</v>
      </c>
      <c r="N48" s="1971">
        <f>ROUND(8400*(1-F79),2)</f>
        <v>8400</v>
      </c>
      <c r="O48" s="1971">
        <f>ROUND(9450*(1-F79),2)</f>
        <v>9450</v>
      </c>
      <c r="P48" s="1971">
        <f>ROUND(8650*(1-F79),2)</f>
        <v>8650</v>
      </c>
      <c r="Q48" s="1971">
        <f>ROUND(9450*(1-F79),2)</f>
        <v>9450</v>
      </c>
      <c r="R48" s="1971">
        <f>ROUND(9850*(1-F79),2)</f>
        <v>9850</v>
      </c>
      <c r="S48" s="1971">
        <f>ROUND(10200*(1-F79),2)</f>
        <v>10200</v>
      </c>
      <c r="T48" s="1971">
        <f>ROUND(9400*(1-F79),2)</f>
        <v>9400</v>
      </c>
    </row>
    <row r="49" spans="1:20" s="1966" customFormat="1" ht="25.5" x14ac:dyDescent="0.35">
      <c r="A49" s="1970" t="s">
        <v>2935</v>
      </c>
      <c r="B49" s="4439">
        <f>ROUND(3200*(1-F79),2)</f>
        <v>3200</v>
      </c>
      <c r="C49" s="4439"/>
      <c r="D49" s="4439"/>
      <c r="E49" s="1974">
        <f>ROUND(3200*(1-F79),2)</f>
        <v>3200</v>
      </c>
      <c r="F49" s="4439">
        <f>ROUND(3800*(1-F79),2)</f>
        <v>3800</v>
      </c>
      <c r="G49" s="4439"/>
      <c r="H49" s="4439">
        <f>ROUND(3800*(1-F79),2)</f>
        <v>3800</v>
      </c>
      <c r="I49" s="4439"/>
      <c r="J49" s="4439">
        <f>ROUND(4150*(1-F79),2)</f>
        <v>4150</v>
      </c>
      <c r="K49" s="4439"/>
      <c r="L49" s="4439"/>
      <c r="M49" s="1974">
        <f>ROUND(4150*(1-F79),2)</f>
        <v>4150</v>
      </c>
      <c r="N49" s="1974">
        <f>ROUND(4150*(1-F79),2)</f>
        <v>4150</v>
      </c>
      <c r="O49" s="1974">
        <f>ROUND(4150*(1-F79),2)</f>
        <v>4150</v>
      </c>
      <c r="P49" s="1974">
        <f>ROUND(4900*(1-F79),2)</f>
        <v>4900</v>
      </c>
      <c r="Q49" s="1974">
        <f>ROUND(4900*(1-F79),2)</f>
        <v>4900</v>
      </c>
      <c r="R49" s="1974">
        <f>ROUND(5450*(1-F79),2)</f>
        <v>5450</v>
      </c>
      <c r="S49" s="1974">
        <f>ROUND(5450*(1-F79),2)</f>
        <v>5450</v>
      </c>
      <c r="T49" s="1974">
        <f>ROUND(5300*(1-F79),2)</f>
        <v>5300</v>
      </c>
    </row>
    <row r="50" spans="1:20" s="1966" customFormat="1" ht="25.5" x14ac:dyDescent="0.35">
      <c r="A50" s="1970" t="s">
        <v>2481</v>
      </c>
      <c r="B50" s="4439">
        <f>ROUND(4900*(1-F79),2)</f>
        <v>4900</v>
      </c>
      <c r="C50" s="4439"/>
      <c r="D50" s="4439"/>
      <c r="E50" s="1974">
        <f>ROUND(5100*(1-F79),2)</f>
        <v>5100</v>
      </c>
      <c r="F50" s="4439">
        <f>ROUND(5550*(1-F79),2)</f>
        <v>5550</v>
      </c>
      <c r="G50" s="4439"/>
      <c r="H50" s="4439">
        <f>ROUND(5900*(1-F79),2)</f>
        <v>5900</v>
      </c>
      <c r="I50" s="4439"/>
      <c r="J50" s="4439">
        <f>ROUND(5900*(1-F79),2)</f>
        <v>5900</v>
      </c>
      <c r="K50" s="4439"/>
      <c r="L50" s="4439"/>
      <c r="M50" s="1974">
        <f>ROUND(6200*(1-F79),2)</f>
        <v>6200</v>
      </c>
      <c r="N50" s="1974">
        <f>ROUND(6700*(1-F79),2)</f>
        <v>6700</v>
      </c>
      <c r="O50" s="1974">
        <f>ROUND(7600*(1-F79),2)</f>
        <v>7600</v>
      </c>
      <c r="P50" s="1974">
        <f>ROUND(7000*(1-F79),2)</f>
        <v>7000</v>
      </c>
      <c r="Q50" s="1974">
        <f>ROUND(7600*(1-F79),2)</f>
        <v>7600</v>
      </c>
      <c r="R50" s="1974">
        <f>ROUND(7800*(1-F79),2)</f>
        <v>7800</v>
      </c>
      <c r="S50" s="1974">
        <f>ROUND(8250*(1-F79),2)</f>
        <v>8250</v>
      </c>
      <c r="T50" s="1974">
        <f>ROUND(7600*(1-F79),2)</f>
        <v>7600</v>
      </c>
    </row>
    <row r="51" spans="1:20" s="1966" customFormat="1" ht="25.5" x14ac:dyDescent="0.35">
      <c r="A51" s="1970" t="s">
        <v>2482</v>
      </c>
      <c r="B51" s="4435">
        <f>ROUND(5050*(1-F79),2)</f>
        <v>5050</v>
      </c>
      <c r="C51" s="4435"/>
      <c r="D51" s="4435"/>
      <c r="E51" s="1971">
        <f>ROUND(5300*(1-F79),2)</f>
        <v>5300</v>
      </c>
      <c r="F51" s="4435">
        <f>ROUND(5800*(1-F79),2)</f>
        <v>5800</v>
      </c>
      <c r="G51" s="4435"/>
      <c r="H51" s="4435">
        <f>ROUND(6200*(1-F79),2)</f>
        <v>6200</v>
      </c>
      <c r="I51" s="4435"/>
      <c r="J51" s="4435">
        <f>ROUND(6200*(1-F79),2)</f>
        <v>6200</v>
      </c>
      <c r="K51" s="4435"/>
      <c r="L51" s="4435"/>
      <c r="M51" s="1971">
        <f>ROUND(6500*(1-F79),2)</f>
        <v>6500</v>
      </c>
      <c r="N51" s="1971">
        <f>ROUND(7000*(1-F79),2)</f>
        <v>7000</v>
      </c>
      <c r="O51" s="1971">
        <f>ROUND(7800*(1-F79),2)</f>
        <v>7800</v>
      </c>
      <c r="P51" s="1971">
        <f>ROUND(7150*(1-F79),2)</f>
        <v>7150</v>
      </c>
      <c r="Q51" s="1971">
        <f>ROUND(7800*(1-F79),2)</f>
        <v>7800</v>
      </c>
      <c r="R51" s="1971">
        <f>ROUND(8200*(1-F79),2)</f>
        <v>8200</v>
      </c>
      <c r="S51" s="1971">
        <f>ROUND(8500*(1-F79),2)</f>
        <v>8500</v>
      </c>
      <c r="T51" s="1971">
        <f>ROUND(7800*(1-F79),2)</f>
        <v>7800</v>
      </c>
    </row>
    <row r="52" spans="1:20" s="1966" customFormat="1" ht="25.5" x14ac:dyDescent="0.35">
      <c r="A52" s="1970" t="s">
        <v>1325</v>
      </c>
      <c r="B52" s="4439">
        <f>ROUND(6350*(1-F79),2)</f>
        <v>6350</v>
      </c>
      <c r="C52" s="4439"/>
      <c r="D52" s="4439"/>
      <c r="E52" s="1974">
        <f>ROUND(6350*(1-F79),2)</f>
        <v>6350</v>
      </c>
      <c r="F52" s="4439">
        <f>ROUND(7800*(1-F79),2)</f>
        <v>7800</v>
      </c>
      <c r="G52" s="4439"/>
      <c r="H52" s="4439">
        <f>ROUND(7800*(1-F79),2)</f>
        <v>7800</v>
      </c>
      <c r="I52" s="4439"/>
      <c r="J52" s="4439">
        <f>ROUND(8000*(1-F79),2)</f>
        <v>8000</v>
      </c>
      <c r="K52" s="4439"/>
      <c r="L52" s="4439"/>
      <c r="M52" s="1974">
        <f>ROUND(8700*(1-F79),2)</f>
        <v>8700</v>
      </c>
      <c r="N52" s="1974">
        <f>ROUND(8700*(1-F79),2)</f>
        <v>8700</v>
      </c>
      <c r="O52" s="1974">
        <f>ROUND(8700*(1-F79),2)</f>
        <v>8700</v>
      </c>
      <c r="P52" s="1974">
        <f>ROUND(9600*(1-F79),2)</f>
        <v>9600</v>
      </c>
      <c r="Q52" s="1974">
        <f>ROUND(9600*(1-F79),2)</f>
        <v>9600</v>
      </c>
      <c r="R52" s="1974">
        <f>ROUND(10500*(1-F79),2)</f>
        <v>10500</v>
      </c>
      <c r="S52" s="1974">
        <f>ROUND(10500*(1-F79),2)</f>
        <v>10500</v>
      </c>
      <c r="T52" s="1974">
        <f>ROUND(9600*(1-F79),2)</f>
        <v>9600</v>
      </c>
    </row>
    <row r="53" spans="1:20" s="1966" customFormat="1" ht="25.5" x14ac:dyDescent="0.2">
      <c r="A53" s="4450" t="s">
        <v>1326</v>
      </c>
      <c r="B53" s="4450"/>
      <c r="C53" s="4450"/>
      <c r="D53" s="4450"/>
      <c r="E53" s="4450"/>
      <c r="F53" s="4450"/>
      <c r="G53" s="4450"/>
      <c r="H53" s="4450"/>
      <c r="I53" s="4450"/>
      <c r="J53" s="4450"/>
      <c r="K53" s="4450"/>
      <c r="L53" s="4450"/>
      <c r="M53" s="4441">
        <f>ROUND(2600*(1-F79),2)</f>
        <v>2600</v>
      </c>
      <c r="N53" s="4441"/>
      <c r="O53" s="4441"/>
      <c r="P53" s="4441"/>
      <c r="Q53" s="4441"/>
      <c r="R53" s="4441"/>
      <c r="S53" s="4441"/>
      <c r="T53" s="4441"/>
    </row>
    <row r="54" spans="1:20" s="1966" customFormat="1" ht="25.5" x14ac:dyDescent="0.2">
      <c r="A54" s="4451" t="s">
        <v>1327</v>
      </c>
      <c r="B54" s="4451"/>
      <c r="C54" s="4451"/>
      <c r="D54" s="4451"/>
      <c r="E54" s="4451"/>
      <c r="F54" s="4451"/>
      <c r="G54" s="4451"/>
      <c r="H54" s="4451"/>
      <c r="I54" s="4451"/>
      <c r="J54" s="4451"/>
      <c r="K54" s="4451"/>
      <c r="L54" s="4451"/>
      <c r="M54" s="4441">
        <f>ROUND(2200*(1-F79),2)</f>
        <v>2200</v>
      </c>
      <c r="N54" s="4441"/>
      <c r="O54" s="4441"/>
      <c r="P54" s="4441"/>
      <c r="Q54" s="4441"/>
      <c r="R54" s="4441"/>
      <c r="S54" s="4441"/>
      <c r="T54" s="4441"/>
    </row>
    <row r="55" spans="1:20" s="1966" customFormat="1" ht="26.25" x14ac:dyDescent="0.4">
      <c r="A55" s="4443" t="s">
        <v>1328</v>
      </c>
      <c r="B55" s="4443"/>
      <c r="C55" s="4443"/>
      <c r="D55" s="4443"/>
      <c r="E55" s="4443"/>
      <c r="F55" s="4443"/>
      <c r="G55" s="4443"/>
      <c r="H55" s="4443"/>
      <c r="I55" s="4443"/>
      <c r="J55" s="4443"/>
      <c r="K55" s="4443"/>
      <c r="L55" s="4443"/>
      <c r="M55" s="4443"/>
      <c r="N55" s="4443"/>
      <c r="O55" s="4443"/>
      <c r="P55" s="4443"/>
      <c r="Q55" s="4443"/>
      <c r="R55" s="4443"/>
      <c r="S55" s="4443"/>
      <c r="T55" s="4443"/>
    </row>
    <row r="56" spans="1:20" s="1966" customFormat="1" ht="26.25" x14ac:dyDescent="0.4">
      <c r="A56" s="1981" t="s">
        <v>1329</v>
      </c>
      <c r="B56" s="1982" t="s">
        <v>1330</v>
      </c>
      <c r="C56" s="1983" t="s">
        <v>3210</v>
      </c>
      <c r="D56" s="1983" t="s">
        <v>1331</v>
      </c>
      <c r="E56" s="1982" t="s">
        <v>2936</v>
      </c>
      <c r="F56" s="4452" t="s">
        <v>1332</v>
      </c>
      <c r="G56" s="4452"/>
      <c r="H56" s="4452" t="s">
        <v>1333</v>
      </c>
      <c r="I56" s="4452"/>
      <c r="J56" s="1982" t="s">
        <v>1334</v>
      </c>
      <c r="K56" s="1983" t="s">
        <v>3211</v>
      </c>
      <c r="L56" s="1983" t="s">
        <v>1335</v>
      </c>
      <c r="M56" s="1982" t="s">
        <v>2937</v>
      </c>
      <c r="N56" s="4452" t="s">
        <v>1336</v>
      </c>
      <c r="O56" s="4452" t="s">
        <v>1337</v>
      </c>
      <c r="P56" s="4452" t="s">
        <v>1338</v>
      </c>
      <c r="Q56" s="4452"/>
      <c r="R56" s="1984" t="s">
        <v>2938</v>
      </c>
      <c r="S56" s="1984" t="s">
        <v>1339</v>
      </c>
      <c r="T56" s="1984" t="s">
        <v>1340</v>
      </c>
    </row>
    <row r="57" spans="1:20" s="1966" customFormat="1" ht="56.25" customHeight="1" x14ac:dyDescent="0.2">
      <c r="A57" s="1985" t="s">
        <v>2939</v>
      </c>
      <c r="B57" s="1986">
        <f>ROUND(8200*(1-B79),2)</f>
        <v>8200</v>
      </c>
      <c r="C57" s="2202" t="s">
        <v>17</v>
      </c>
      <c r="D57" s="1986">
        <f>ROUND(7800*(1-B79),2)</f>
        <v>7800</v>
      </c>
      <c r="E57" s="1987">
        <f>ROUND(11800*(1-B79),2)</f>
        <v>11800</v>
      </c>
      <c r="F57" s="4453">
        <f>ROUND(9400*(1-B79),2)</f>
        <v>9400</v>
      </c>
      <c r="G57" s="4453"/>
      <c r="H57" s="4453" t="s">
        <v>17</v>
      </c>
      <c r="I57" s="4453"/>
      <c r="J57" s="1987">
        <f>ROUND(8600*(1-B79),2)</f>
        <v>8600</v>
      </c>
      <c r="K57" s="2202" t="s">
        <v>17</v>
      </c>
      <c r="L57" s="1986" t="str">
        <f>ROUND(8900*(1-B79),2)&amp;"*"</f>
        <v>8900*</v>
      </c>
      <c r="M57" s="1988">
        <f>ROUND(12000*(1-B79),2)</f>
        <v>12000</v>
      </c>
      <c r="N57" s="4454" t="s">
        <v>17</v>
      </c>
      <c r="O57" s="4454"/>
      <c r="P57" s="4454" t="str">
        <f>ROUND(9600*(1-B79),2)&amp;"*"</f>
        <v>9600*</v>
      </c>
      <c r="Q57" s="4454"/>
      <c r="R57" s="1988" t="s">
        <v>17</v>
      </c>
      <c r="S57" s="1988" t="s">
        <v>17</v>
      </c>
      <c r="T57" s="1972">
        <f>ROUND(9600*(1-B79),2)</f>
        <v>9600</v>
      </c>
    </row>
    <row r="58" spans="1:20" s="1966" customFormat="1" ht="51.75" x14ac:dyDescent="0.2">
      <c r="A58" s="1985" t="s">
        <v>2940</v>
      </c>
      <c r="B58" s="1986">
        <f>ROUND(9200*(1-B79),2)</f>
        <v>9200</v>
      </c>
      <c r="C58" s="2202" t="s">
        <v>17</v>
      </c>
      <c r="D58" s="1986">
        <f>ROUND(7900*(1-B79),2)</f>
        <v>7900</v>
      </c>
      <c r="E58" s="1987">
        <f>ROUND(11900*(1-B79),2)</f>
        <v>11900</v>
      </c>
      <c r="F58" s="4455">
        <f>ROUND(9500*(1-B79),2)</f>
        <v>9500</v>
      </c>
      <c r="G58" s="4456"/>
      <c r="H58" s="4455" t="s">
        <v>17</v>
      </c>
      <c r="I58" s="4456"/>
      <c r="J58" s="1987">
        <f>ROUND(9200*(1-B79),2)</f>
        <v>9200</v>
      </c>
      <c r="K58" s="2202" t="s">
        <v>17</v>
      </c>
      <c r="L58" s="1986">
        <f>ROUND(9000*(1-B79),2)</f>
        <v>9000</v>
      </c>
      <c r="M58" s="1988">
        <f>ROUND(12100*(1-B79),2)</f>
        <v>12100</v>
      </c>
      <c r="N58" s="4457" t="s">
        <v>17</v>
      </c>
      <c r="O58" s="4458"/>
      <c r="P58" s="4457">
        <f>ROUND(9700*(1-B79),2)</f>
        <v>9700</v>
      </c>
      <c r="Q58" s="4458"/>
      <c r="R58" s="1988" t="s">
        <v>17</v>
      </c>
      <c r="S58" s="1988" t="s">
        <v>17</v>
      </c>
      <c r="T58" s="1972">
        <f>ROUND(9700*(1-B79),2)</f>
        <v>9700</v>
      </c>
    </row>
    <row r="59" spans="1:20" s="1966" customFormat="1" ht="51" x14ac:dyDescent="0.2">
      <c r="A59" s="1985" t="s">
        <v>2941</v>
      </c>
      <c r="B59" s="1986">
        <f>ROUND(9500*(1-B79),2)</f>
        <v>9500</v>
      </c>
      <c r="C59" s="2202" t="s">
        <v>17</v>
      </c>
      <c r="D59" s="1986" t="str">
        <f>ROUND(9900*(1-B79),2)&amp;"*"</f>
        <v>9900*</v>
      </c>
      <c r="E59" s="1987">
        <f>ROUND(14400*(1-B79),2)</f>
        <v>14400</v>
      </c>
      <c r="F59" s="4453" t="str">
        <f>ROUND(12000*(1-B79),2)&amp;"*"</f>
        <v>12000*</v>
      </c>
      <c r="G59" s="4453"/>
      <c r="H59" s="4453">
        <f>ROUND(13100*(1-B79),2)</f>
        <v>13100</v>
      </c>
      <c r="I59" s="4453"/>
      <c r="J59" s="1987">
        <f>ROUND(9900*(1-B79),2)</f>
        <v>9900</v>
      </c>
      <c r="K59" s="2202" t="s">
        <v>17</v>
      </c>
      <c r="L59" s="1986" t="str">
        <f>ROUND(10100*(1-B79),2)&amp;"*"</f>
        <v>10100*</v>
      </c>
      <c r="M59" s="1988">
        <f>ROUND(14400*(1-B79),2)</f>
        <v>14400</v>
      </c>
      <c r="N59" s="4454" t="s">
        <v>17</v>
      </c>
      <c r="O59" s="4454"/>
      <c r="P59" s="4454" t="str">
        <f>ROUND(13100*(1-B79),2)&amp;"*"</f>
        <v>13100*</v>
      </c>
      <c r="Q59" s="4454"/>
      <c r="R59" s="1988">
        <f>ROUND(14400*(1-B79),2)</f>
        <v>14400</v>
      </c>
      <c r="S59" s="1988" t="s">
        <v>17</v>
      </c>
      <c r="T59" s="1972">
        <f>ROUND(13100*(1-B79),2)</f>
        <v>13100</v>
      </c>
    </row>
    <row r="60" spans="1:20" s="1966" customFormat="1" ht="72.75" customHeight="1" x14ac:dyDescent="0.2">
      <c r="A60" s="1985" t="s">
        <v>2942</v>
      </c>
      <c r="B60" s="1986">
        <f>ROUND(10400*(1-B79),2)</f>
        <v>10400</v>
      </c>
      <c r="C60" s="2202" t="s">
        <v>17</v>
      </c>
      <c r="D60" s="1986">
        <f>ROUND(10100*(1-B79),2)</f>
        <v>10100</v>
      </c>
      <c r="E60" s="1987">
        <f>ROUND(14500*(1-B79),2)</f>
        <v>14500</v>
      </c>
      <c r="F60" s="4455">
        <f>ROUND(12100*(1-B79),2)</f>
        <v>12100</v>
      </c>
      <c r="G60" s="4456"/>
      <c r="H60" s="4455">
        <f>ROUND(13200*(1-B79),2)</f>
        <v>13200</v>
      </c>
      <c r="I60" s="4456"/>
      <c r="J60" s="1987">
        <f>ROUND(10400*(1-B79),2)</f>
        <v>10400</v>
      </c>
      <c r="K60" s="2202" t="s">
        <v>17</v>
      </c>
      <c r="L60" s="1986">
        <f>ROUND(10200*(1-B79),2)</f>
        <v>10200</v>
      </c>
      <c r="M60" s="1988">
        <f>ROUND(14500*(1-B79),2)</f>
        <v>14500</v>
      </c>
      <c r="N60" s="4457" t="s">
        <v>17</v>
      </c>
      <c r="O60" s="4458"/>
      <c r="P60" s="4457">
        <f>ROUND(13200*(1-B79),2)</f>
        <v>13200</v>
      </c>
      <c r="Q60" s="4458"/>
      <c r="R60" s="1988">
        <f>ROUND(14500*(1-B79),2)</f>
        <v>14500</v>
      </c>
      <c r="S60" s="1988" t="s">
        <v>17</v>
      </c>
      <c r="T60" s="1972">
        <f>ROUND(13200*(1-B79),2)</f>
        <v>13200</v>
      </c>
    </row>
    <row r="61" spans="1:20" s="1966" customFormat="1" ht="51" x14ac:dyDescent="0.2">
      <c r="A61" s="1985" t="s">
        <v>1341</v>
      </c>
      <c r="B61" s="1987" t="s">
        <v>17</v>
      </c>
      <c r="C61" s="2202" t="s">
        <v>17</v>
      </c>
      <c r="D61" s="1986">
        <f>ROUND(15900*(1-B79),2)</f>
        <v>15900</v>
      </c>
      <c r="E61" s="1987" t="s">
        <v>17</v>
      </c>
      <c r="F61" s="4453" t="s">
        <v>17</v>
      </c>
      <c r="G61" s="4453"/>
      <c r="H61" s="4453" t="s">
        <v>17</v>
      </c>
      <c r="I61" s="4453"/>
      <c r="J61" s="1987" t="s">
        <v>17</v>
      </c>
      <c r="K61" s="2202" t="s">
        <v>17</v>
      </c>
      <c r="L61" s="1986">
        <f>ROUND(15900*(1-B79),2)</f>
        <v>15900</v>
      </c>
      <c r="M61" s="1988" t="s">
        <v>17</v>
      </c>
      <c r="N61" s="4454" t="s">
        <v>17</v>
      </c>
      <c r="O61" s="4454"/>
      <c r="P61" s="4454" t="s">
        <v>17</v>
      </c>
      <c r="Q61" s="4454"/>
      <c r="R61" s="1988" t="s">
        <v>17</v>
      </c>
      <c r="S61" s="1988" t="s">
        <v>17</v>
      </c>
      <c r="T61" s="1972" t="s">
        <v>17</v>
      </c>
    </row>
    <row r="62" spans="1:20" s="1966" customFormat="1" ht="51" x14ac:dyDescent="0.2">
      <c r="A62" s="1985" t="s">
        <v>1342</v>
      </c>
      <c r="B62" s="1987" t="s">
        <v>17</v>
      </c>
      <c r="C62" s="2202" t="s">
        <v>17</v>
      </c>
      <c r="D62" s="1986" t="str">
        <f>ROUND(12400*(1-B79),2)&amp;"*"</f>
        <v>12400*</v>
      </c>
      <c r="E62" s="1987" t="s">
        <v>17</v>
      </c>
      <c r="F62" s="4453" t="s">
        <v>17</v>
      </c>
      <c r="G62" s="4453"/>
      <c r="H62" s="4453" t="s">
        <v>17</v>
      </c>
      <c r="I62" s="4453"/>
      <c r="J62" s="1987" t="s">
        <v>17</v>
      </c>
      <c r="K62" s="2202" t="s">
        <v>17</v>
      </c>
      <c r="L62" s="1986" t="str">
        <f>ROUND(12700*(1-B79),2)&amp;"*"</f>
        <v>12700*</v>
      </c>
      <c r="M62" s="1988" t="s">
        <v>17</v>
      </c>
      <c r="N62" s="4454">
        <f>ROUND(13200*(1-B79),2)</f>
        <v>13200</v>
      </c>
      <c r="O62" s="4454"/>
      <c r="P62" s="4454" t="s">
        <v>17</v>
      </c>
      <c r="Q62" s="4454"/>
      <c r="R62" s="1988" t="s">
        <v>17</v>
      </c>
      <c r="S62" s="1988">
        <f>ROUND(14600*(1-B79),2)</f>
        <v>14600</v>
      </c>
      <c r="T62" s="1972" t="s">
        <v>17</v>
      </c>
    </row>
    <row r="63" spans="1:20" s="1966" customFormat="1" ht="81.75" customHeight="1" x14ac:dyDescent="0.2">
      <c r="A63" s="1985" t="s">
        <v>3213</v>
      </c>
      <c r="B63" s="2201" t="s">
        <v>17</v>
      </c>
      <c r="C63" s="2202">
        <f>ROUND(16600*(1-A80),2)</f>
        <v>16600</v>
      </c>
      <c r="D63" s="2202" t="s">
        <v>17</v>
      </c>
      <c r="E63" s="2202" t="s">
        <v>17</v>
      </c>
      <c r="F63" s="4455" t="s">
        <v>17</v>
      </c>
      <c r="G63" s="4456"/>
      <c r="H63" s="4455" t="s">
        <v>17</v>
      </c>
      <c r="I63" s="4456"/>
      <c r="J63" s="2201" t="s">
        <v>17</v>
      </c>
      <c r="K63" s="2202">
        <f>ROUND(17200*(1-I80),2)</f>
        <v>17200</v>
      </c>
      <c r="L63" s="2202" t="s">
        <v>17</v>
      </c>
      <c r="M63" s="2200" t="s">
        <v>17</v>
      </c>
      <c r="N63" s="4457" t="s">
        <v>17</v>
      </c>
      <c r="O63" s="4458"/>
      <c r="P63" s="4457" t="s">
        <v>17</v>
      </c>
      <c r="Q63" s="4458"/>
      <c r="R63" s="2200" t="s">
        <v>17</v>
      </c>
      <c r="S63" s="2200" t="s">
        <v>17</v>
      </c>
      <c r="T63" s="2203" t="s">
        <v>17</v>
      </c>
    </row>
    <row r="64" spans="1:20" s="1966" customFormat="1" ht="78" customHeight="1" x14ac:dyDescent="0.2">
      <c r="A64" s="1989" t="s">
        <v>1343</v>
      </c>
      <c r="B64" s="1987" t="s">
        <v>17</v>
      </c>
      <c r="C64" s="2202" t="s">
        <v>17</v>
      </c>
      <c r="D64" s="1986">
        <f>ROUND(16600*(1-B79),2)</f>
        <v>16600</v>
      </c>
      <c r="E64" s="1987" t="s">
        <v>17</v>
      </c>
      <c r="F64" s="4454">
        <f>ROUND(19200*(1-B79),2)</f>
        <v>19200</v>
      </c>
      <c r="G64" s="4454"/>
      <c r="H64" s="4453" t="s">
        <v>17</v>
      </c>
      <c r="I64" s="4453"/>
      <c r="J64" s="1987" t="s">
        <v>17</v>
      </c>
      <c r="K64" s="2202" t="s">
        <v>17</v>
      </c>
      <c r="L64" s="1986">
        <f>ROUND(17200*(1-B79),2)</f>
        <v>17200</v>
      </c>
      <c r="M64" s="1988" t="s">
        <v>17</v>
      </c>
      <c r="N64" s="4454" t="s">
        <v>17</v>
      </c>
      <c r="O64" s="4454"/>
      <c r="P64" s="4454">
        <f>ROUND(19500*(1-B79),2)</f>
        <v>19500</v>
      </c>
      <c r="Q64" s="4454"/>
      <c r="R64" s="1988" t="s">
        <v>17</v>
      </c>
      <c r="S64" s="1988" t="s">
        <v>17</v>
      </c>
      <c r="T64" s="1972" t="s">
        <v>17</v>
      </c>
    </row>
    <row r="65" spans="1:20" s="1966" customFormat="1" ht="76.5" x14ac:dyDescent="0.2">
      <c r="A65" s="1990" t="s">
        <v>1329</v>
      </c>
      <c r="B65" s="4460" t="s">
        <v>1344</v>
      </c>
      <c r="C65" s="4460"/>
      <c r="D65" s="4460"/>
      <c r="E65" s="1991" t="s">
        <v>1345</v>
      </c>
      <c r="F65" s="4459" t="s">
        <v>1346</v>
      </c>
      <c r="G65" s="4459"/>
      <c r="H65" s="4459" t="s">
        <v>1347</v>
      </c>
      <c r="I65" s="4459"/>
      <c r="J65" s="4460" t="s">
        <v>1331</v>
      </c>
      <c r="K65" s="4461"/>
      <c r="L65" s="4462"/>
      <c r="M65" s="1991" t="s">
        <v>1348</v>
      </c>
      <c r="N65" s="4459" t="s">
        <v>1349</v>
      </c>
      <c r="O65" s="4459"/>
      <c r="P65" s="1991" t="s">
        <v>1350</v>
      </c>
      <c r="Q65" s="1991" t="s">
        <v>1335</v>
      </c>
      <c r="R65" s="1991" t="s">
        <v>1351</v>
      </c>
      <c r="S65" s="1991" t="s">
        <v>1352</v>
      </c>
      <c r="T65" s="1991" t="s">
        <v>1353</v>
      </c>
    </row>
    <row r="66" spans="1:20" s="1966" customFormat="1" ht="25.5" x14ac:dyDescent="0.2">
      <c r="A66" s="1970" t="s">
        <v>1354</v>
      </c>
      <c r="B66" s="4472" t="s">
        <v>17</v>
      </c>
      <c r="C66" s="4473"/>
      <c r="D66" s="4474"/>
      <c r="E66" s="2012">
        <f>ROUND(44200*(1-B79),2)</f>
        <v>44200</v>
      </c>
      <c r="F66" s="4472" t="s">
        <v>17</v>
      </c>
      <c r="G66" s="4474"/>
      <c r="H66" s="4472">
        <f>ROUND(44200*(1-B79),2)</f>
        <v>44200</v>
      </c>
      <c r="I66" s="4474"/>
      <c r="J66" s="4472" t="s">
        <v>17</v>
      </c>
      <c r="K66" s="4473"/>
      <c r="L66" s="4474"/>
      <c r="M66" s="2013">
        <f>ROUND(44200*(1-B79),2)</f>
        <v>44200</v>
      </c>
      <c r="N66" s="4475" t="s">
        <v>17</v>
      </c>
      <c r="O66" s="4476"/>
      <c r="P66" s="2013">
        <f>ROUND(44200*(1-B79),2)</f>
        <v>44200</v>
      </c>
      <c r="Q66" s="2013" t="s">
        <v>17</v>
      </c>
      <c r="R66" s="2013">
        <f>ROUND(44200*(1-B79),2)</f>
        <v>44200</v>
      </c>
      <c r="S66" s="2013">
        <f>ROUND(44200*(1-B79),2)</f>
        <v>44200</v>
      </c>
      <c r="T66" s="1972">
        <f>ROUND(3800*(1-B79),2)</f>
        <v>3800</v>
      </c>
    </row>
    <row r="67" spans="1:20" s="1966" customFormat="1" ht="25.5" x14ac:dyDescent="0.2">
      <c r="A67" s="1985" t="s">
        <v>1355</v>
      </c>
      <c r="B67" s="4475">
        <f>ROUND(25400*(1-B79),2)</f>
        <v>25400</v>
      </c>
      <c r="C67" s="4477"/>
      <c r="D67" s="4476"/>
      <c r="E67" s="2013" t="s">
        <v>17</v>
      </c>
      <c r="F67" s="4475">
        <f>ROUND(26400*(1-B79),2)</f>
        <v>26400</v>
      </c>
      <c r="G67" s="4476"/>
      <c r="H67" s="4475" t="s">
        <v>17</v>
      </c>
      <c r="I67" s="4476"/>
      <c r="J67" s="4475">
        <f>ROUND(26900*(1-B79),2)</f>
        <v>26900</v>
      </c>
      <c r="K67" s="4477"/>
      <c r="L67" s="4476"/>
      <c r="M67" s="2013" t="s">
        <v>17</v>
      </c>
      <c r="N67" s="4475">
        <f>ROUND(26400*(1-B79),2)</f>
        <v>26400</v>
      </c>
      <c r="O67" s="4476"/>
      <c r="P67" s="2013" t="s">
        <v>17</v>
      </c>
      <c r="Q67" s="2013">
        <f>ROUND(27700*(1-B79),2)</f>
        <v>27700</v>
      </c>
      <c r="R67" s="2013" t="s">
        <v>17</v>
      </c>
      <c r="S67" s="2013" t="s">
        <v>17</v>
      </c>
      <c r="T67" s="1979">
        <f>ROUND(3800*(1-B79),2)</f>
        <v>3800</v>
      </c>
    </row>
    <row r="68" spans="1:20" ht="20.25" x14ac:dyDescent="0.3">
      <c r="A68" s="1992"/>
      <c r="B68" s="1992"/>
      <c r="C68" s="1992"/>
      <c r="D68" s="1993"/>
      <c r="E68" s="1993"/>
      <c r="F68" s="1962"/>
      <c r="G68" s="1962"/>
      <c r="P68" s="1962"/>
      <c r="Q68" s="1962"/>
      <c r="R68" s="1962"/>
      <c r="S68" s="1962"/>
    </row>
    <row r="69" spans="1:20" ht="23.25" x14ac:dyDescent="0.2">
      <c r="A69" s="1994" t="s">
        <v>1356</v>
      </c>
      <c r="B69" s="1995"/>
      <c r="C69" s="1995"/>
      <c r="D69" s="430"/>
      <c r="E69" s="430"/>
      <c r="F69" s="1961"/>
      <c r="G69" s="1961"/>
      <c r="P69" s="1996"/>
      <c r="Q69" s="1996"/>
      <c r="R69" s="1996"/>
      <c r="S69" s="1996"/>
    </row>
    <row r="70" spans="1:20" ht="23.25" x14ac:dyDescent="0.2">
      <c r="A70" s="1994" t="s">
        <v>650</v>
      </c>
      <c r="B70" s="1995"/>
      <c r="C70" s="1995"/>
      <c r="D70" s="430"/>
      <c r="E70" s="430"/>
      <c r="F70" s="1961"/>
      <c r="G70" s="1961"/>
      <c r="P70" s="1996"/>
      <c r="Q70" s="1996"/>
      <c r="R70" s="1996"/>
      <c r="S70" s="1996"/>
    </row>
    <row r="71" spans="1:20" ht="23.25" x14ac:dyDescent="0.35">
      <c r="A71" s="1997" t="s">
        <v>2483</v>
      </c>
      <c r="B71" s="431"/>
      <c r="C71" s="431"/>
      <c r="D71" s="430"/>
      <c r="E71" s="430"/>
      <c r="F71" s="1961"/>
      <c r="G71" s="1961"/>
      <c r="P71" s="1996"/>
      <c r="Q71" s="1996"/>
      <c r="R71" s="1996"/>
      <c r="S71" s="1996"/>
    </row>
    <row r="72" spans="1:20" ht="23.25" x14ac:dyDescent="0.35">
      <c r="A72" s="793" t="s">
        <v>2259</v>
      </c>
      <c r="B72" s="1995"/>
      <c r="C72" s="1995"/>
      <c r="D72" s="430"/>
      <c r="E72" s="430"/>
      <c r="F72" s="1961"/>
      <c r="G72" s="1961"/>
      <c r="P72" s="1996"/>
      <c r="Q72" s="1996"/>
      <c r="R72" s="1996"/>
      <c r="S72" s="1996"/>
    </row>
    <row r="73" spans="1:20" ht="23.25" x14ac:dyDescent="0.3">
      <c r="A73" s="1994" t="s">
        <v>1357</v>
      </c>
      <c r="B73" s="1962"/>
      <c r="C73" s="1962"/>
      <c r="D73" s="430"/>
      <c r="E73" s="430"/>
      <c r="F73" s="1961"/>
      <c r="G73" s="1961"/>
      <c r="P73" s="1996"/>
      <c r="Q73" s="1996"/>
      <c r="R73" s="1996"/>
      <c r="S73" s="1996"/>
    </row>
    <row r="74" spans="1:20" ht="23.25" x14ac:dyDescent="0.3">
      <c r="A74" s="1998"/>
      <c r="B74" s="1999"/>
      <c r="C74" s="1999"/>
      <c r="D74" s="1962"/>
      <c r="E74" s="1962"/>
      <c r="F74" s="2000"/>
      <c r="G74" s="1962"/>
      <c r="H74" s="1962"/>
      <c r="I74" s="1962"/>
      <c r="J74" s="1962"/>
      <c r="K74" s="1962"/>
      <c r="L74" s="1962"/>
      <c r="M74" s="1962"/>
      <c r="N74" s="1962"/>
      <c r="O74" s="1962"/>
      <c r="P74" s="1962"/>
      <c r="Q74" s="1962"/>
      <c r="R74" s="1962"/>
      <c r="S74" s="2001"/>
      <c r="T74" s="2002"/>
    </row>
    <row r="75" spans="1:20" ht="23.25" x14ac:dyDescent="0.2">
      <c r="A75" s="2003"/>
      <c r="B75" s="2004"/>
      <c r="C75" s="2004"/>
      <c r="D75" s="2005"/>
      <c r="E75" s="2005"/>
      <c r="F75" s="2005"/>
      <c r="G75" s="2005"/>
      <c r="H75" s="2005"/>
      <c r="I75" s="2005"/>
      <c r="J75" s="2005"/>
      <c r="K75" s="2005"/>
      <c r="L75" s="2005"/>
      <c r="M75" s="2005"/>
      <c r="N75" s="2005"/>
      <c r="O75" s="2005"/>
      <c r="P75" s="2005"/>
      <c r="Q75" s="2005"/>
      <c r="R75" s="2005"/>
      <c r="S75" s="2001"/>
      <c r="T75" s="2002"/>
    </row>
    <row r="76" spans="1:20" ht="23.25" x14ac:dyDescent="0.2">
      <c r="A76" s="2003"/>
      <c r="B76" s="2004"/>
      <c r="C76" s="2004"/>
      <c r="D76" s="2005"/>
      <c r="E76" s="2005"/>
      <c r="F76" s="2005"/>
      <c r="G76" s="2005"/>
      <c r="H76" s="2005"/>
      <c r="I76" s="2005"/>
      <c r="J76" s="2005"/>
      <c r="K76" s="2005"/>
      <c r="L76" s="2005"/>
      <c r="M76" s="2005"/>
      <c r="N76" s="2005"/>
      <c r="O76" s="2005"/>
      <c r="P76" s="2005"/>
      <c r="Q76" s="2005"/>
      <c r="R76" s="2005"/>
      <c r="S76" s="2001"/>
    </row>
    <row r="77" spans="1:20" ht="20.25" x14ac:dyDescent="0.2">
      <c r="A77" s="2005"/>
      <c r="B77" s="2005"/>
      <c r="C77" s="2005"/>
      <c r="D77" s="2005"/>
      <c r="E77" s="2005"/>
      <c r="F77" s="2005"/>
      <c r="G77" s="2005"/>
      <c r="H77" s="2005"/>
      <c r="I77" s="2005"/>
      <c r="J77" s="2005"/>
      <c r="K77" s="2005"/>
      <c r="L77" s="2005"/>
      <c r="M77" s="2005"/>
      <c r="N77" s="2005"/>
      <c r="O77" s="2005"/>
      <c r="P77" s="2005"/>
      <c r="Q77" s="2005"/>
      <c r="R77" s="2005"/>
      <c r="S77" s="2006"/>
    </row>
    <row r="78" spans="1:20" ht="60.75" customHeight="1" x14ac:dyDescent="0.2">
      <c r="A78" s="4467" t="s">
        <v>66</v>
      </c>
      <c r="B78" s="4468" t="s">
        <v>2895</v>
      </c>
      <c r="C78" s="4468"/>
      <c r="D78" s="4468"/>
      <c r="E78" s="4468"/>
      <c r="F78" s="4469" t="s">
        <v>1358</v>
      </c>
      <c r="G78" s="4469"/>
      <c r="H78" s="4469"/>
      <c r="I78" s="4469"/>
      <c r="J78" s="1878"/>
      <c r="K78" s="1878"/>
      <c r="P78" s="1880"/>
      <c r="Q78" s="1880"/>
      <c r="R78" s="1880"/>
      <c r="S78" s="1880"/>
    </row>
    <row r="79" spans="1:20" ht="31.5" customHeight="1" x14ac:dyDescent="0.2">
      <c r="A79" s="4467"/>
      <c r="B79" s="4470">
        <v>0</v>
      </c>
      <c r="C79" s="4470"/>
      <c r="D79" s="4470"/>
      <c r="E79" s="4470"/>
      <c r="F79" s="4471">
        <v>0</v>
      </c>
      <c r="G79" s="4471"/>
      <c r="H79" s="4471"/>
      <c r="I79" s="4471"/>
      <c r="J79" s="1881"/>
      <c r="K79" s="1881"/>
      <c r="P79" s="1880"/>
      <c r="Q79" s="1880"/>
      <c r="R79" s="1880"/>
      <c r="S79" s="1880"/>
    </row>
    <row r="80" spans="1:20" ht="11.25" customHeight="1" x14ac:dyDescent="0.2">
      <c r="A80" s="2007"/>
      <c r="B80" s="2007"/>
      <c r="C80" s="2007"/>
      <c r="D80" s="2008"/>
      <c r="E80" s="2009"/>
      <c r="F80" s="2010"/>
      <c r="G80" s="2010"/>
      <c r="H80" s="2010"/>
      <c r="P80" s="1880"/>
      <c r="Q80" s="1880"/>
      <c r="R80" s="1880"/>
      <c r="S80" s="1880"/>
    </row>
  </sheetData>
  <sheetProtection selectLockedCells="1" selectUnlockedCells="1"/>
  <mergeCells count="170">
    <mergeCell ref="B41:T41"/>
    <mergeCell ref="B42:T42"/>
    <mergeCell ref="B43:T43"/>
    <mergeCell ref="B44:T44"/>
    <mergeCell ref="A78:A79"/>
    <mergeCell ref="B78:E78"/>
    <mergeCell ref="F78:I78"/>
    <mergeCell ref="B79:E79"/>
    <mergeCell ref="F79:I79"/>
    <mergeCell ref="B66:D66"/>
    <mergeCell ref="F66:G66"/>
    <mergeCell ref="H66:I66"/>
    <mergeCell ref="J66:L66"/>
    <mergeCell ref="N66:O66"/>
    <mergeCell ref="B67:D67"/>
    <mergeCell ref="F67:G67"/>
    <mergeCell ref="H67:I67"/>
    <mergeCell ref="J67:L67"/>
    <mergeCell ref="N67:O67"/>
    <mergeCell ref="F64:G64"/>
    <mergeCell ref="H64:I64"/>
    <mergeCell ref="N64:O64"/>
    <mergeCell ref="P64:Q64"/>
    <mergeCell ref="B65:D65"/>
    <mergeCell ref="F65:G65"/>
    <mergeCell ref="H65:I65"/>
    <mergeCell ref="J65:L65"/>
    <mergeCell ref="N65:O65"/>
    <mergeCell ref="F61:G61"/>
    <mergeCell ref="H61:I61"/>
    <mergeCell ref="N61:O61"/>
    <mergeCell ref="P61:Q61"/>
    <mergeCell ref="F62:G62"/>
    <mergeCell ref="H62:I62"/>
    <mergeCell ref="N62:O62"/>
    <mergeCell ref="P62:Q62"/>
    <mergeCell ref="F63:G63"/>
    <mergeCell ref="H63:I63"/>
    <mergeCell ref="N63:O63"/>
    <mergeCell ref="P63:Q63"/>
    <mergeCell ref="F59:G59"/>
    <mergeCell ref="H59:I59"/>
    <mergeCell ref="N59:O59"/>
    <mergeCell ref="P59:Q59"/>
    <mergeCell ref="F60:G60"/>
    <mergeCell ref="H60:I60"/>
    <mergeCell ref="N60:O60"/>
    <mergeCell ref="P60:Q60"/>
    <mergeCell ref="F57:G57"/>
    <mergeCell ref="H57:I57"/>
    <mergeCell ref="N57:O57"/>
    <mergeCell ref="P57:Q57"/>
    <mergeCell ref="F58:G58"/>
    <mergeCell ref="H58:I58"/>
    <mergeCell ref="N58:O58"/>
    <mergeCell ref="P58:Q58"/>
    <mergeCell ref="A53:L53"/>
    <mergeCell ref="M53:T53"/>
    <mergeCell ref="A54:L54"/>
    <mergeCell ref="M54:T54"/>
    <mergeCell ref="A55:T55"/>
    <mergeCell ref="F56:G56"/>
    <mergeCell ref="H56:I56"/>
    <mergeCell ref="N56:O56"/>
    <mergeCell ref="P56:Q56"/>
    <mergeCell ref="B51:D51"/>
    <mergeCell ref="F51:G51"/>
    <mergeCell ref="H51:I51"/>
    <mergeCell ref="J51:L51"/>
    <mergeCell ref="B52:D52"/>
    <mergeCell ref="F52:G52"/>
    <mergeCell ref="H52:I52"/>
    <mergeCell ref="J52:L52"/>
    <mergeCell ref="B49:D49"/>
    <mergeCell ref="F49:G49"/>
    <mergeCell ref="H49:I49"/>
    <mergeCell ref="J49:L49"/>
    <mergeCell ref="B50:D50"/>
    <mergeCell ref="F50:G50"/>
    <mergeCell ref="H50:I50"/>
    <mergeCell ref="J50:L50"/>
    <mergeCell ref="B47:D47"/>
    <mergeCell ref="F47:G47"/>
    <mergeCell ref="H47:I47"/>
    <mergeCell ref="J47:L47"/>
    <mergeCell ref="B48:D48"/>
    <mergeCell ref="F48:G48"/>
    <mergeCell ref="H48:I48"/>
    <mergeCell ref="J48:L48"/>
    <mergeCell ref="A45:T45"/>
    <mergeCell ref="B46:D46"/>
    <mergeCell ref="F46:G46"/>
    <mergeCell ref="H46:I46"/>
    <mergeCell ref="J46:L46"/>
    <mergeCell ref="B37:T37"/>
    <mergeCell ref="B38:T38"/>
    <mergeCell ref="B39:T39"/>
    <mergeCell ref="A40:T40"/>
    <mergeCell ref="B34:D34"/>
    <mergeCell ref="F34:G34"/>
    <mergeCell ref="H34:I34"/>
    <mergeCell ref="J34:L34"/>
    <mergeCell ref="A35:T35"/>
    <mergeCell ref="B36:T36"/>
    <mergeCell ref="A31:E31"/>
    <mergeCell ref="G31:S31"/>
    <mergeCell ref="A32:T32"/>
    <mergeCell ref="B33:D33"/>
    <mergeCell ref="F33:G33"/>
    <mergeCell ref="H33:I33"/>
    <mergeCell ref="J33:L33"/>
    <mergeCell ref="A28:T28"/>
    <mergeCell ref="B29:D29"/>
    <mergeCell ref="F29:G29"/>
    <mergeCell ref="H29:I29"/>
    <mergeCell ref="J29:L29"/>
    <mergeCell ref="A30:E30"/>
    <mergeCell ref="G30:S30"/>
    <mergeCell ref="A25:T25"/>
    <mergeCell ref="B26:D26"/>
    <mergeCell ref="F26:G26"/>
    <mergeCell ref="H26:I26"/>
    <mergeCell ref="J26:L26"/>
    <mergeCell ref="B27:D27"/>
    <mergeCell ref="F27:G27"/>
    <mergeCell ref="H27:I27"/>
    <mergeCell ref="J27:L27"/>
    <mergeCell ref="B23:D23"/>
    <mergeCell ref="F23:G23"/>
    <mergeCell ref="H23:I23"/>
    <mergeCell ref="J23:L23"/>
    <mergeCell ref="B24:D24"/>
    <mergeCell ref="F24:G24"/>
    <mergeCell ref="H24:I24"/>
    <mergeCell ref="J24:L24"/>
    <mergeCell ref="B21:D21"/>
    <mergeCell ref="F21:G21"/>
    <mergeCell ref="H21:I21"/>
    <mergeCell ref="J21:L21"/>
    <mergeCell ref="B22:D22"/>
    <mergeCell ref="F22:G22"/>
    <mergeCell ref="H22:I22"/>
    <mergeCell ref="J22:L22"/>
    <mergeCell ref="B20:D20"/>
    <mergeCell ref="F20:G20"/>
    <mergeCell ref="H20:I20"/>
    <mergeCell ref="J20:L20"/>
    <mergeCell ref="B16:D16"/>
    <mergeCell ref="F16:G16"/>
    <mergeCell ref="H16:I16"/>
    <mergeCell ref="J16:L16"/>
    <mergeCell ref="B17:D17"/>
    <mergeCell ref="F17:G17"/>
    <mergeCell ref="H17:I17"/>
    <mergeCell ref="J17:L17"/>
    <mergeCell ref="J18:L18"/>
    <mergeCell ref="B18:D18"/>
    <mergeCell ref="F18:G18"/>
    <mergeCell ref="H18:I18"/>
    <mergeCell ref="A1:T11"/>
    <mergeCell ref="A12:S12"/>
    <mergeCell ref="A14:T14"/>
    <mergeCell ref="B15:D15"/>
    <mergeCell ref="F15:G15"/>
    <mergeCell ref="H15:I15"/>
    <mergeCell ref="J15:L15"/>
    <mergeCell ref="B19:D19"/>
    <mergeCell ref="F19:G19"/>
    <mergeCell ref="H19:I19"/>
    <mergeCell ref="J19:L19"/>
  </mergeCells>
  <printOptions horizontalCentered="1"/>
  <pageMargins left="0" right="0" top="0" bottom="0" header="0.51181102362204722" footer="0"/>
  <pageSetup paperSize="9" scale="23" firstPageNumber="0" orientation="landscape" r:id="rId1"/>
  <headerFooter alignWithMargins="0">
    <oddFooter>&amp;R&amp;"Arial,обычный"&amp;26Стр. &amp;P из  &amp;N
&amp;A</oddFooter>
  </headerFooter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90"/>
  <sheetViews>
    <sheetView topLeftCell="A13" zoomScale="50" zoomScaleNormal="50" zoomScaleSheetLayoutView="25" workbookViewId="0">
      <selection sqref="A1:C2"/>
    </sheetView>
  </sheetViews>
  <sheetFormatPr defaultRowHeight="12" customHeight="1" x14ac:dyDescent="0.2"/>
  <cols>
    <col min="1" max="1" width="106" style="814" customWidth="1"/>
    <col min="2" max="2" width="19" style="814" customWidth="1"/>
    <col min="3" max="3" width="18.85546875" style="814" customWidth="1"/>
    <col min="4" max="4" width="19.140625" style="814" customWidth="1"/>
    <col min="5" max="5" width="18.5703125" style="814" customWidth="1"/>
    <col min="6" max="6" width="18.85546875" style="814" customWidth="1"/>
    <col min="7" max="7" width="18.7109375" style="814" customWidth="1"/>
    <col min="8" max="8" width="17.28515625" style="814" customWidth="1"/>
    <col min="9" max="9" width="16.42578125" style="814" customWidth="1"/>
    <col min="10" max="10" width="17" style="814" customWidth="1"/>
    <col min="11" max="11" width="16.42578125" style="814" customWidth="1"/>
    <col min="12" max="12" width="16.5703125" style="814" customWidth="1"/>
    <col min="13" max="13" width="16.85546875" style="814" customWidth="1"/>
    <col min="14" max="14" width="16.28515625" style="814" customWidth="1"/>
    <col min="15" max="15" width="17.7109375" style="814" customWidth="1"/>
    <col min="16" max="16" width="17.28515625" style="814" customWidth="1"/>
    <col min="17" max="17" width="15.5703125" style="814" customWidth="1"/>
    <col min="18" max="18" width="15.28515625" style="814" customWidth="1"/>
    <col min="19" max="19" width="8.5703125" style="814" customWidth="1"/>
    <col min="20" max="256" width="9.140625" style="814"/>
    <col min="257" max="257" width="104.28515625" style="814" customWidth="1"/>
    <col min="258" max="258" width="19" style="814" customWidth="1"/>
    <col min="259" max="259" width="18.85546875" style="814" customWidth="1"/>
    <col min="260" max="260" width="19.140625" style="814" customWidth="1"/>
    <col min="261" max="261" width="18.5703125" style="814" customWidth="1"/>
    <col min="262" max="262" width="18.85546875" style="814" customWidth="1"/>
    <col min="263" max="263" width="18.7109375" style="814" customWidth="1"/>
    <col min="264" max="264" width="17.28515625" style="814" customWidth="1"/>
    <col min="265" max="265" width="16.42578125" style="814" customWidth="1"/>
    <col min="266" max="266" width="17" style="814" customWidth="1"/>
    <col min="267" max="267" width="16.42578125" style="814" customWidth="1"/>
    <col min="268" max="268" width="16.5703125" style="814" customWidth="1"/>
    <col min="269" max="269" width="16.85546875" style="814" customWidth="1"/>
    <col min="270" max="270" width="16.28515625" style="814" customWidth="1"/>
    <col min="271" max="271" width="17.7109375" style="814" customWidth="1"/>
    <col min="272" max="272" width="17.28515625" style="814" customWidth="1"/>
    <col min="273" max="273" width="15.5703125" style="814" customWidth="1"/>
    <col min="274" max="274" width="15.28515625" style="814" customWidth="1"/>
    <col min="275" max="275" width="8.5703125" style="814" customWidth="1"/>
    <col min="276" max="512" width="9.140625" style="814"/>
    <col min="513" max="513" width="104.28515625" style="814" customWidth="1"/>
    <col min="514" max="514" width="19" style="814" customWidth="1"/>
    <col min="515" max="515" width="18.85546875" style="814" customWidth="1"/>
    <col min="516" max="516" width="19.140625" style="814" customWidth="1"/>
    <col min="517" max="517" width="18.5703125" style="814" customWidth="1"/>
    <col min="518" max="518" width="18.85546875" style="814" customWidth="1"/>
    <col min="519" max="519" width="18.7109375" style="814" customWidth="1"/>
    <col min="520" max="520" width="17.28515625" style="814" customWidth="1"/>
    <col min="521" max="521" width="16.42578125" style="814" customWidth="1"/>
    <col min="522" max="522" width="17" style="814" customWidth="1"/>
    <col min="523" max="523" width="16.42578125" style="814" customWidth="1"/>
    <col min="524" max="524" width="16.5703125" style="814" customWidth="1"/>
    <col min="525" max="525" width="16.85546875" style="814" customWidth="1"/>
    <col min="526" max="526" width="16.28515625" style="814" customWidth="1"/>
    <col min="527" max="527" width="17.7109375" style="814" customWidth="1"/>
    <col min="528" max="528" width="17.28515625" style="814" customWidth="1"/>
    <col min="529" max="529" width="15.5703125" style="814" customWidth="1"/>
    <col min="530" max="530" width="15.28515625" style="814" customWidth="1"/>
    <col min="531" max="531" width="8.5703125" style="814" customWidth="1"/>
    <col min="532" max="768" width="9.140625" style="814"/>
    <col min="769" max="769" width="104.28515625" style="814" customWidth="1"/>
    <col min="770" max="770" width="19" style="814" customWidth="1"/>
    <col min="771" max="771" width="18.85546875" style="814" customWidth="1"/>
    <col min="772" max="772" width="19.140625" style="814" customWidth="1"/>
    <col min="773" max="773" width="18.5703125" style="814" customWidth="1"/>
    <col min="774" max="774" width="18.85546875" style="814" customWidth="1"/>
    <col min="775" max="775" width="18.7109375" style="814" customWidth="1"/>
    <col min="776" max="776" width="17.28515625" style="814" customWidth="1"/>
    <col min="777" max="777" width="16.42578125" style="814" customWidth="1"/>
    <col min="778" max="778" width="17" style="814" customWidth="1"/>
    <col min="779" max="779" width="16.42578125" style="814" customWidth="1"/>
    <col min="780" max="780" width="16.5703125" style="814" customWidth="1"/>
    <col min="781" max="781" width="16.85546875" style="814" customWidth="1"/>
    <col min="782" max="782" width="16.28515625" style="814" customWidth="1"/>
    <col min="783" max="783" width="17.7109375" style="814" customWidth="1"/>
    <col min="784" max="784" width="17.28515625" style="814" customWidth="1"/>
    <col min="785" max="785" width="15.5703125" style="814" customWidth="1"/>
    <col min="786" max="786" width="15.28515625" style="814" customWidth="1"/>
    <col min="787" max="787" width="8.5703125" style="814" customWidth="1"/>
    <col min="788" max="1024" width="9.140625" style="814"/>
    <col min="1025" max="1025" width="104.28515625" style="814" customWidth="1"/>
    <col min="1026" max="1026" width="19" style="814" customWidth="1"/>
    <col min="1027" max="1027" width="18.85546875" style="814" customWidth="1"/>
    <col min="1028" max="1028" width="19.140625" style="814" customWidth="1"/>
    <col min="1029" max="1029" width="18.5703125" style="814" customWidth="1"/>
    <col min="1030" max="1030" width="18.85546875" style="814" customWidth="1"/>
    <col min="1031" max="1031" width="18.7109375" style="814" customWidth="1"/>
    <col min="1032" max="1032" width="17.28515625" style="814" customWidth="1"/>
    <col min="1033" max="1033" width="16.42578125" style="814" customWidth="1"/>
    <col min="1034" max="1034" width="17" style="814" customWidth="1"/>
    <col min="1035" max="1035" width="16.42578125" style="814" customWidth="1"/>
    <col min="1036" max="1036" width="16.5703125" style="814" customWidth="1"/>
    <col min="1037" max="1037" width="16.85546875" style="814" customWidth="1"/>
    <col min="1038" max="1038" width="16.28515625" style="814" customWidth="1"/>
    <col min="1039" max="1039" width="17.7109375" style="814" customWidth="1"/>
    <col min="1040" max="1040" width="17.28515625" style="814" customWidth="1"/>
    <col min="1041" max="1041" width="15.5703125" style="814" customWidth="1"/>
    <col min="1042" max="1042" width="15.28515625" style="814" customWidth="1"/>
    <col min="1043" max="1043" width="8.5703125" style="814" customWidth="1"/>
    <col min="1044" max="1280" width="9.140625" style="814"/>
    <col min="1281" max="1281" width="104.28515625" style="814" customWidth="1"/>
    <col min="1282" max="1282" width="19" style="814" customWidth="1"/>
    <col min="1283" max="1283" width="18.85546875" style="814" customWidth="1"/>
    <col min="1284" max="1284" width="19.140625" style="814" customWidth="1"/>
    <col min="1285" max="1285" width="18.5703125" style="814" customWidth="1"/>
    <col min="1286" max="1286" width="18.85546875" style="814" customWidth="1"/>
    <col min="1287" max="1287" width="18.7109375" style="814" customWidth="1"/>
    <col min="1288" max="1288" width="17.28515625" style="814" customWidth="1"/>
    <col min="1289" max="1289" width="16.42578125" style="814" customWidth="1"/>
    <col min="1290" max="1290" width="17" style="814" customWidth="1"/>
    <col min="1291" max="1291" width="16.42578125" style="814" customWidth="1"/>
    <col min="1292" max="1292" width="16.5703125" style="814" customWidth="1"/>
    <col min="1293" max="1293" width="16.85546875" style="814" customWidth="1"/>
    <col min="1294" max="1294" width="16.28515625" style="814" customWidth="1"/>
    <col min="1295" max="1295" width="17.7109375" style="814" customWidth="1"/>
    <col min="1296" max="1296" width="17.28515625" style="814" customWidth="1"/>
    <col min="1297" max="1297" width="15.5703125" style="814" customWidth="1"/>
    <col min="1298" max="1298" width="15.28515625" style="814" customWidth="1"/>
    <col min="1299" max="1299" width="8.5703125" style="814" customWidth="1"/>
    <col min="1300" max="1536" width="9.140625" style="814"/>
    <col min="1537" max="1537" width="104.28515625" style="814" customWidth="1"/>
    <col min="1538" max="1538" width="19" style="814" customWidth="1"/>
    <col min="1539" max="1539" width="18.85546875" style="814" customWidth="1"/>
    <col min="1540" max="1540" width="19.140625" style="814" customWidth="1"/>
    <col min="1541" max="1541" width="18.5703125" style="814" customWidth="1"/>
    <col min="1542" max="1542" width="18.85546875" style="814" customWidth="1"/>
    <col min="1543" max="1543" width="18.7109375" style="814" customWidth="1"/>
    <col min="1544" max="1544" width="17.28515625" style="814" customWidth="1"/>
    <col min="1545" max="1545" width="16.42578125" style="814" customWidth="1"/>
    <col min="1546" max="1546" width="17" style="814" customWidth="1"/>
    <col min="1547" max="1547" width="16.42578125" style="814" customWidth="1"/>
    <col min="1548" max="1548" width="16.5703125" style="814" customWidth="1"/>
    <col min="1549" max="1549" width="16.85546875" style="814" customWidth="1"/>
    <col min="1550" max="1550" width="16.28515625" style="814" customWidth="1"/>
    <col min="1551" max="1551" width="17.7109375" style="814" customWidth="1"/>
    <col min="1552" max="1552" width="17.28515625" style="814" customWidth="1"/>
    <col min="1553" max="1553" width="15.5703125" style="814" customWidth="1"/>
    <col min="1554" max="1554" width="15.28515625" style="814" customWidth="1"/>
    <col min="1555" max="1555" width="8.5703125" style="814" customWidth="1"/>
    <col min="1556" max="1792" width="9.140625" style="814"/>
    <col min="1793" max="1793" width="104.28515625" style="814" customWidth="1"/>
    <col min="1794" max="1794" width="19" style="814" customWidth="1"/>
    <col min="1795" max="1795" width="18.85546875" style="814" customWidth="1"/>
    <col min="1796" max="1796" width="19.140625" style="814" customWidth="1"/>
    <col min="1797" max="1797" width="18.5703125" style="814" customWidth="1"/>
    <col min="1798" max="1798" width="18.85546875" style="814" customWidth="1"/>
    <col min="1799" max="1799" width="18.7109375" style="814" customWidth="1"/>
    <col min="1800" max="1800" width="17.28515625" style="814" customWidth="1"/>
    <col min="1801" max="1801" width="16.42578125" style="814" customWidth="1"/>
    <col min="1802" max="1802" width="17" style="814" customWidth="1"/>
    <col min="1803" max="1803" width="16.42578125" style="814" customWidth="1"/>
    <col min="1804" max="1804" width="16.5703125" style="814" customWidth="1"/>
    <col min="1805" max="1805" width="16.85546875" style="814" customWidth="1"/>
    <col min="1806" max="1806" width="16.28515625" style="814" customWidth="1"/>
    <col min="1807" max="1807" width="17.7109375" style="814" customWidth="1"/>
    <col min="1808" max="1808" width="17.28515625" style="814" customWidth="1"/>
    <col min="1809" max="1809" width="15.5703125" style="814" customWidth="1"/>
    <col min="1810" max="1810" width="15.28515625" style="814" customWidth="1"/>
    <col min="1811" max="1811" width="8.5703125" style="814" customWidth="1"/>
    <col min="1812" max="2048" width="9.140625" style="814"/>
    <col min="2049" max="2049" width="104.28515625" style="814" customWidth="1"/>
    <col min="2050" max="2050" width="19" style="814" customWidth="1"/>
    <col min="2051" max="2051" width="18.85546875" style="814" customWidth="1"/>
    <col min="2052" max="2052" width="19.140625" style="814" customWidth="1"/>
    <col min="2053" max="2053" width="18.5703125" style="814" customWidth="1"/>
    <col min="2054" max="2054" width="18.85546875" style="814" customWidth="1"/>
    <col min="2055" max="2055" width="18.7109375" style="814" customWidth="1"/>
    <col min="2056" max="2056" width="17.28515625" style="814" customWidth="1"/>
    <col min="2057" max="2057" width="16.42578125" style="814" customWidth="1"/>
    <col min="2058" max="2058" width="17" style="814" customWidth="1"/>
    <col min="2059" max="2059" width="16.42578125" style="814" customWidth="1"/>
    <col min="2060" max="2060" width="16.5703125" style="814" customWidth="1"/>
    <col min="2061" max="2061" width="16.85546875" style="814" customWidth="1"/>
    <col min="2062" max="2062" width="16.28515625" style="814" customWidth="1"/>
    <col min="2063" max="2063" width="17.7109375" style="814" customWidth="1"/>
    <col min="2064" max="2064" width="17.28515625" style="814" customWidth="1"/>
    <col min="2065" max="2065" width="15.5703125" style="814" customWidth="1"/>
    <col min="2066" max="2066" width="15.28515625" style="814" customWidth="1"/>
    <col min="2067" max="2067" width="8.5703125" style="814" customWidth="1"/>
    <col min="2068" max="2304" width="9.140625" style="814"/>
    <col min="2305" max="2305" width="104.28515625" style="814" customWidth="1"/>
    <col min="2306" max="2306" width="19" style="814" customWidth="1"/>
    <col min="2307" max="2307" width="18.85546875" style="814" customWidth="1"/>
    <col min="2308" max="2308" width="19.140625" style="814" customWidth="1"/>
    <col min="2309" max="2309" width="18.5703125" style="814" customWidth="1"/>
    <col min="2310" max="2310" width="18.85546875" style="814" customWidth="1"/>
    <col min="2311" max="2311" width="18.7109375" style="814" customWidth="1"/>
    <col min="2312" max="2312" width="17.28515625" style="814" customWidth="1"/>
    <col min="2313" max="2313" width="16.42578125" style="814" customWidth="1"/>
    <col min="2314" max="2314" width="17" style="814" customWidth="1"/>
    <col min="2315" max="2315" width="16.42578125" style="814" customWidth="1"/>
    <col min="2316" max="2316" width="16.5703125" style="814" customWidth="1"/>
    <col min="2317" max="2317" width="16.85546875" style="814" customWidth="1"/>
    <col min="2318" max="2318" width="16.28515625" style="814" customWidth="1"/>
    <col min="2319" max="2319" width="17.7109375" style="814" customWidth="1"/>
    <col min="2320" max="2320" width="17.28515625" style="814" customWidth="1"/>
    <col min="2321" max="2321" width="15.5703125" style="814" customWidth="1"/>
    <col min="2322" max="2322" width="15.28515625" style="814" customWidth="1"/>
    <col min="2323" max="2323" width="8.5703125" style="814" customWidth="1"/>
    <col min="2324" max="2560" width="9.140625" style="814"/>
    <col min="2561" max="2561" width="104.28515625" style="814" customWidth="1"/>
    <col min="2562" max="2562" width="19" style="814" customWidth="1"/>
    <col min="2563" max="2563" width="18.85546875" style="814" customWidth="1"/>
    <col min="2564" max="2564" width="19.140625" style="814" customWidth="1"/>
    <col min="2565" max="2565" width="18.5703125" style="814" customWidth="1"/>
    <col min="2566" max="2566" width="18.85546875" style="814" customWidth="1"/>
    <col min="2567" max="2567" width="18.7109375" style="814" customWidth="1"/>
    <col min="2568" max="2568" width="17.28515625" style="814" customWidth="1"/>
    <col min="2569" max="2569" width="16.42578125" style="814" customWidth="1"/>
    <col min="2570" max="2570" width="17" style="814" customWidth="1"/>
    <col min="2571" max="2571" width="16.42578125" style="814" customWidth="1"/>
    <col min="2572" max="2572" width="16.5703125" style="814" customWidth="1"/>
    <col min="2573" max="2573" width="16.85546875" style="814" customWidth="1"/>
    <col min="2574" max="2574" width="16.28515625" style="814" customWidth="1"/>
    <col min="2575" max="2575" width="17.7109375" style="814" customWidth="1"/>
    <col min="2576" max="2576" width="17.28515625" style="814" customWidth="1"/>
    <col min="2577" max="2577" width="15.5703125" style="814" customWidth="1"/>
    <col min="2578" max="2578" width="15.28515625" style="814" customWidth="1"/>
    <col min="2579" max="2579" width="8.5703125" style="814" customWidth="1"/>
    <col min="2580" max="2816" width="9.140625" style="814"/>
    <col min="2817" max="2817" width="104.28515625" style="814" customWidth="1"/>
    <col min="2818" max="2818" width="19" style="814" customWidth="1"/>
    <col min="2819" max="2819" width="18.85546875" style="814" customWidth="1"/>
    <col min="2820" max="2820" width="19.140625" style="814" customWidth="1"/>
    <col min="2821" max="2821" width="18.5703125" style="814" customWidth="1"/>
    <col min="2822" max="2822" width="18.85546875" style="814" customWidth="1"/>
    <col min="2823" max="2823" width="18.7109375" style="814" customWidth="1"/>
    <col min="2824" max="2824" width="17.28515625" style="814" customWidth="1"/>
    <col min="2825" max="2825" width="16.42578125" style="814" customWidth="1"/>
    <col min="2826" max="2826" width="17" style="814" customWidth="1"/>
    <col min="2827" max="2827" width="16.42578125" style="814" customWidth="1"/>
    <col min="2828" max="2828" width="16.5703125" style="814" customWidth="1"/>
    <col min="2829" max="2829" width="16.85546875" style="814" customWidth="1"/>
    <col min="2830" max="2830" width="16.28515625" style="814" customWidth="1"/>
    <col min="2831" max="2831" width="17.7109375" style="814" customWidth="1"/>
    <col min="2832" max="2832" width="17.28515625" style="814" customWidth="1"/>
    <col min="2833" max="2833" width="15.5703125" style="814" customWidth="1"/>
    <col min="2834" max="2834" width="15.28515625" style="814" customWidth="1"/>
    <col min="2835" max="2835" width="8.5703125" style="814" customWidth="1"/>
    <col min="2836" max="3072" width="9.140625" style="814"/>
    <col min="3073" max="3073" width="104.28515625" style="814" customWidth="1"/>
    <col min="3074" max="3074" width="19" style="814" customWidth="1"/>
    <col min="3075" max="3075" width="18.85546875" style="814" customWidth="1"/>
    <col min="3076" max="3076" width="19.140625" style="814" customWidth="1"/>
    <col min="3077" max="3077" width="18.5703125" style="814" customWidth="1"/>
    <col min="3078" max="3078" width="18.85546875" style="814" customWidth="1"/>
    <col min="3079" max="3079" width="18.7109375" style="814" customWidth="1"/>
    <col min="3080" max="3080" width="17.28515625" style="814" customWidth="1"/>
    <col min="3081" max="3081" width="16.42578125" style="814" customWidth="1"/>
    <col min="3082" max="3082" width="17" style="814" customWidth="1"/>
    <col min="3083" max="3083" width="16.42578125" style="814" customWidth="1"/>
    <col min="3084" max="3084" width="16.5703125" style="814" customWidth="1"/>
    <col min="3085" max="3085" width="16.85546875" style="814" customWidth="1"/>
    <col min="3086" max="3086" width="16.28515625" style="814" customWidth="1"/>
    <col min="3087" max="3087" width="17.7109375" style="814" customWidth="1"/>
    <col min="3088" max="3088" width="17.28515625" style="814" customWidth="1"/>
    <col min="3089" max="3089" width="15.5703125" style="814" customWidth="1"/>
    <col min="3090" max="3090" width="15.28515625" style="814" customWidth="1"/>
    <col min="3091" max="3091" width="8.5703125" style="814" customWidth="1"/>
    <col min="3092" max="3328" width="9.140625" style="814"/>
    <col min="3329" max="3329" width="104.28515625" style="814" customWidth="1"/>
    <col min="3330" max="3330" width="19" style="814" customWidth="1"/>
    <col min="3331" max="3331" width="18.85546875" style="814" customWidth="1"/>
    <col min="3332" max="3332" width="19.140625" style="814" customWidth="1"/>
    <col min="3333" max="3333" width="18.5703125" style="814" customWidth="1"/>
    <col min="3334" max="3334" width="18.85546875" style="814" customWidth="1"/>
    <col min="3335" max="3335" width="18.7109375" style="814" customWidth="1"/>
    <col min="3336" max="3336" width="17.28515625" style="814" customWidth="1"/>
    <col min="3337" max="3337" width="16.42578125" style="814" customWidth="1"/>
    <col min="3338" max="3338" width="17" style="814" customWidth="1"/>
    <col min="3339" max="3339" width="16.42578125" style="814" customWidth="1"/>
    <col min="3340" max="3340" width="16.5703125" style="814" customWidth="1"/>
    <col min="3341" max="3341" width="16.85546875" style="814" customWidth="1"/>
    <col min="3342" max="3342" width="16.28515625" style="814" customWidth="1"/>
    <col min="3343" max="3343" width="17.7109375" style="814" customWidth="1"/>
    <col min="3344" max="3344" width="17.28515625" style="814" customWidth="1"/>
    <col min="3345" max="3345" width="15.5703125" style="814" customWidth="1"/>
    <col min="3346" max="3346" width="15.28515625" style="814" customWidth="1"/>
    <col min="3347" max="3347" width="8.5703125" style="814" customWidth="1"/>
    <col min="3348" max="3584" width="9.140625" style="814"/>
    <col min="3585" max="3585" width="104.28515625" style="814" customWidth="1"/>
    <col min="3586" max="3586" width="19" style="814" customWidth="1"/>
    <col min="3587" max="3587" width="18.85546875" style="814" customWidth="1"/>
    <col min="3588" max="3588" width="19.140625" style="814" customWidth="1"/>
    <col min="3589" max="3589" width="18.5703125" style="814" customWidth="1"/>
    <col min="3590" max="3590" width="18.85546875" style="814" customWidth="1"/>
    <col min="3591" max="3591" width="18.7109375" style="814" customWidth="1"/>
    <col min="3592" max="3592" width="17.28515625" style="814" customWidth="1"/>
    <col min="3593" max="3593" width="16.42578125" style="814" customWidth="1"/>
    <col min="3594" max="3594" width="17" style="814" customWidth="1"/>
    <col min="3595" max="3595" width="16.42578125" style="814" customWidth="1"/>
    <col min="3596" max="3596" width="16.5703125" style="814" customWidth="1"/>
    <col min="3597" max="3597" width="16.85546875" style="814" customWidth="1"/>
    <col min="3598" max="3598" width="16.28515625" style="814" customWidth="1"/>
    <col min="3599" max="3599" width="17.7109375" style="814" customWidth="1"/>
    <col min="3600" max="3600" width="17.28515625" style="814" customWidth="1"/>
    <col min="3601" max="3601" width="15.5703125" style="814" customWidth="1"/>
    <col min="3602" max="3602" width="15.28515625" style="814" customWidth="1"/>
    <col min="3603" max="3603" width="8.5703125" style="814" customWidth="1"/>
    <col min="3604" max="3840" width="9.140625" style="814"/>
    <col min="3841" max="3841" width="104.28515625" style="814" customWidth="1"/>
    <col min="3842" max="3842" width="19" style="814" customWidth="1"/>
    <col min="3843" max="3843" width="18.85546875" style="814" customWidth="1"/>
    <col min="3844" max="3844" width="19.140625" style="814" customWidth="1"/>
    <col min="3845" max="3845" width="18.5703125" style="814" customWidth="1"/>
    <col min="3846" max="3846" width="18.85546875" style="814" customWidth="1"/>
    <col min="3847" max="3847" width="18.7109375" style="814" customWidth="1"/>
    <col min="3848" max="3848" width="17.28515625" style="814" customWidth="1"/>
    <col min="3849" max="3849" width="16.42578125" style="814" customWidth="1"/>
    <col min="3850" max="3850" width="17" style="814" customWidth="1"/>
    <col min="3851" max="3851" width="16.42578125" style="814" customWidth="1"/>
    <col min="3852" max="3852" width="16.5703125" style="814" customWidth="1"/>
    <col min="3853" max="3853" width="16.85546875" style="814" customWidth="1"/>
    <col min="3854" max="3854" width="16.28515625" style="814" customWidth="1"/>
    <col min="3855" max="3855" width="17.7109375" style="814" customWidth="1"/>
    <col min="3856" max="3856" width="17.28515625" style="814" customWidth="1"/>
    <col min="3857" max="3857" width="15.5703125" style="814" customWidth="1"/>
    <col min="3858" max="3858" width="15.28515625" style="814" customWidth="1"/>
    <col min="3859" max="3859" width="8.5703125" style="814" customWidth="1"/>
    <col min="3860" max="4096" width="9.140625" style="814"/>
    <col min="4097" max="4097" width="104.28515625" style="814" customWidth="1"/>
    <col min="4098" max="4098" width="19" style="814" customWidth="1"/>
    <col min="4099" max="4099" width="18.85546875" style="814" customWidth="1"/>
    <col min="4100" max="4100" width="19.140625" style="814" customWidth="1"/>
    <col min="4101" max="4101" width="18.5703125" style="814" customWidth="1"/>
    <col min="4102" max="4102" width="18.85546875" style="814" customWidth="1"/>
    <col min="4103" max="4103" width="18.7109375" style="814" customWidth="1"/>
    <col min="4104" max="4104" width="17.28515625" style="814" customWidth="1"/>
    <col min="4105" max="4105" width="16.42578125" style="814" customWidth="1"/>
    <col min="4106" max="4106" width="17" style="814" customWidth="1"/>
    <col min="4107" max="4107" width="16.42578125" style="814" customWidth="1"/>
    <col min="4108" max="4108" width="16.5703125" style="814" customWidth="1"/>
    <col min="4109" max="4109" width="16.85546875" style="814" customWidth="1"/>
    <col min="4110" max="4110" width="16.28515625" style="814" customWidth="1"/>
    <col min="4111" max="4111" width="17.7109375" style="814" customWidth="1"/>
    <col min="4112" max="4112" width="17.28515625" style="814" customWidth="1"/>
    <col min="4113" max="4113" width="15.5703125" style="814" customWidth="1"/>
    <col min="4114" max="4114" width="15.28515625" style="814" customWidth="1"/>
    <col min="4115" max="4115" width="8.5703125" style="814" customWidth="1"/>
    <col min="4116" max="4352" width="9.140625" style="814"/>
    <col min="4353" max="4353" width="104.28515625" style="814" customWidth="1"/>
    <col min="4354" max="4354" width="19" style="814" customWidth="1"/>
    <col min="4355" max="4355" width="18.85546875" style="814" customWidth="1"/>
    <col min="4356" max="4356" width="19.140625" style="814" customWidth="1"/>
    <col min="4357" max="4357" width="18.5703125" style="814" customWidth="1"/>
    <col min="4358" max="4358" width="18.85546875" style="814" customWidth="1"/>
    <col min="4359" max="4359" width="18.7109375" style="814" customWidth="1"/>
    <col min="4360" max="4360" width="17.28515625" style="814" customWidth="1"/>
    <col min="4361" max="4361" width="16.42578125" style="814" customWidth="1"/>
    <col min="4362" max="4362" width="17" style="814" customWidth="1"/>
    <col min="4363" max="4363" width="16.42578125" style="814" customWidth="1"/>
    <col min="4364" max="4364" width="16.5703125" style="814" customWidth="1"/>
    <col min="4365" max="4365" width="16.85546875" style="814" customWidth="1"/>
    <col min="4366" max="4366" width="16.28515625" style="814" customWidth="1"/>
    <col min="4367" max="4367" width="17.7109375" style="814" customWidth="1"/>
    <col min="4368" max="4368" width="17.28515625" style="814" customWidth="1"/>
    <col min="4369" max="4369" width="15.5703125" style="814" customWidth="1"/>
    <col min="4370" max="4370" width="15.28515625" style="814" customWidth="1"/>
    <col min="4371" max="4371" width="8.5703125" style="814" customWidth="1"/>
    <col min="4372" max="4608" width="9.140625" style="814"/>
    <col min="4609" max="4609" width="104.28515625" style="814" customWidth="1"/>
    <col min="4610" max="4610" width="19" style="814" customWidth="1"/>
    <col min="4611" max="4611" width="18.85546875" style="814" customWidth="1"/>
    <col min="4612" max="4612" width="19.140625" style="814" customWidth="1"/>
    <col min="4613" max="4613" width="18.5703125" style="814" customWidth="1"/>
    <col min="4614" max="4614" width="18.85546875" style="814" customWidth="1"/>
    <col min="4615" max="4615" width="18.7109375" style="814" customWidth="1"/>
    <col min="4616" max="4616" width="17.28515625" style="814" customWidth="1"/>
    <col min="4617" max="4617" width="16.42578125" style="814" customWidth="1"/>
    <col min="4618" max="4618" width="17" style="814" customWidth="1"/>
    <col min="4619" max="4619" width="16.42578125" style="814" customWidth="1"/>
    <col min="4620" max="4620" width="16.5703125" style="814" customWidth="1"/>
    <col min="4621" max="4621" width="16.85546875" style="814" customWidth="1"/>
    <col min="4622" max="4622" width="16.28515625" style="814" customWidth="1"/>
    <col min="4623" max="4623" width="17.7109375" style="814" customWidth="1"/>
    <col min="4624" max="4624" width="17.28515625" style="814" customWidth="1"/>
    <col min="4625" max="4625" width="15.5703125" style="814" customWidth="1"/>
    <col min="4626" max="4626" width="15.28515625" style="814" customWidth="1"/>
    <col min="4627" max="4627" width="8.5703125" style="814" customWidth="1"/>
    <col min="4628" max="4864" width="9.140625" style="814"/>
    <col min="4865" max="4865" width="104.28515625" style="814" customWidth="1"/>
    <col min="4866" max="4866" width="19" style="814" customWidth="1"/>
    <col min="4867" max="4867" width="18.85546875" style="814" customWidth="1"/>
    <col min="4868" max="4868" width="19.140625" style="814" customWidth="1"/>
    <col min="4869" max="4869" width="18.5703125" style="814" customWidth="1"/>
    <col min="4870" max="4870" width="18.85546875" style="814" customWidth="1"/>
    <col min="4871" max="4871" width="18.7109375" style="814" customWidth="1"/>
    <col min="4872" max="4872" width="17.28515625" style="814" customWidth="1"/>
    <col min="4873" max="4873" width="16.42578125" style="814" customWidth="1"/>
    <col min="4874" max="4874" width="17" style="814" customWidth="1"/>
    <col min="4875" max="4875" width="16.42578125" style="814" customWidth="1"/>
    <col min="4876" max="4876" width="16.5703125" style="814" customWidth="1"/>
    <col min="4877" max="4877" width="16.85546875" style="814" customWidth="1"/>
    <col min="4878" max="4878" width="16.28515625" style="814" customWidth="1"/>
    <col min="4879" max="4879" width="17.7109375" style="814" customWidth="1"/>
    <col min="4880" max="4880" width="17.28515625" style="814" customWidth="1"/>
    <col min="4881" max="4881" width="15.5703125" style="814" customWidth="1"/>
    <col min="4882" max="4882" width="15.28515625" style="814" customWidth="1"/>
    <col min="4883" max="4883" width="8.5703125" style="814" customWidth="1"/>
    <col min="4884" max="5120" width="9.140625" style="814"/>
    <col min="5121" max="5121" width="104.28515625" style="814" customWidth="1"/>
    <col min="5122" max="5122" width="19" style="814" customWidth="1"/>
    <col min="5123" max="5123" width="18.85546875" style="814" customWidth="1"/>
    <col min="5124" max="5124" width="19.140625" style="814" customWidth="1"/>
    <col min="5125" max="5125" width="18.5703125" style="814" customWidth="1"/>
    <col min="5126" max="5126" width="18.85546875" style="814" customWidth="1"/>
    <col min="5127" max="5127" width="18.7109375" style="814" customWidth="1"/>
    <col min="5128" max="5128" width="17.28515625" style="814" customWidth="1"/>
    <col min="5129" max="5129" width="16.42578125" style="814" customWidth="1"/>
    <col min="5130" max="5130" width="17" style="814" customWidth="1"/>
    <col min="5131" max="5131" width="16.42578125" style="814" customWidth="1"/>
    <col min="5132" max="5132" width="16.5703125" style="814" customWidth="1"/>
    <col min="5133" max="5133" width="16.85546875" style="814" customWidth="1"/>
    <col min="5134" max="5134" width="16.28515625" style="814" customWidth="1"/>
    <col min="5135" max="5135" width="17.7109375" style="814" customWidth="1"/>
    <col min="5136" max="5136" width="17.28515625" style="814" customWidth="1"/>
    <col min="5137" max="5137" width="15.5703125" style="814" customWidth="1"/>
    <col min="5138" max="5138" width="15.28515625" style="814" customWidth="1"/>
    <col min="5139" max="5139" width="8.5703125" style="814" customWidth="1"/>
    <col min="5140" max="5376" width="9.140625" style="814"/>
    <col min="5377" max="5377" width="104.28515625" style="814" customWidth="1"/>
    <col min="5378" max="5378" width="19" style="814" customWidth="1"/>
    <col min="5379" max="5379" width="18.85546875" style="814" customWidth="1"/>
    <col min="5380" max="5380" width="19.140625" style="814" customWidth="1"/>
    <col min="5381" max="5381" width="18.5703125" style="814" customWidth="1"/>
    <col min="5382" max="5382" width="18.85546875" style="814" customWidth="1"/>
    <col min="5383" max="5383" width="18.7109375" style="814" customWidth="1"/>
    <col min="5384" max="5384" width="17.28515625" style="814" customWidth="1"/>
    <col min="5385" max="5385" width="16.42578125" style="814" customWidth="1"/>
    <col min="5386" max="5386" width="17" style="814" customWidth="1"/>
    <col min="5387" max="5387" width="16.42578125" style="814" customWidth="1"/>
    <col min="5388" max="5388" width="16.5703125" style="814" customWidth="1"/>
    <col min="5389" max="5389" width="16.85546875" style="814" customWidth="1"/>
    <col min="5390" max="5390" width="16.28515625" style="814" customWidth="1"/>
    <col min="5391" max="5391" width="17.7109375" style="814" customWidth="1"/>
    <col min="5392" max="5392" width="17.28515625" style="814" customWidth="1"/>
    <col min="5393" max="5393" width="15.5703125" style="814" customWidth="1"/>
    <col min="5394" max="5394" width="15.28515625" style="814" customWidth="1"/>
    <col min="5395" max="5395" width="8.5703125" style="814" customWidth="1"/>
    <col min="5396" max="5632" width="9.140625" style="814"/>
    <col min="5633" max="5633" width="104.28515625" style="814" customWidth="1"/>
    <col min="5634" max="5634" width="19" style="814" customWidth="1"/>
    <col min="5635" max="5635" width="18.85546875" style="814" customWidth="1"/>
    <col min="5636" max="5636" width="19.140625" style="814" customWidth="1"/>
    <col min="5637" max="5637" width="18.5703125" style="814" customWidth="1"/>
    <col min="5638" max="5638" width="18.85546875" style="814" customWidth="1"/>
    <col min="5639" max="5639" width="18.7109375" style="814" customWidth="1"/>
    <col min="5640" max="5640" width="17.28515625" style="814" customWidth="1"/>
    <col min="5641" max="5641" width="16.42578125" style="814" customWidth="1"/>
    <col min="5642" max="5642" width="17" style="814" customWidth="1"/>
    <col min="5643" max="5643" width="16.42578125" style="814" customWidth="1"/>
    <col min="5644" max="5644" width="16.5703125" style="814" customWidth="1"/>
    <col min="5645" max="5645" width="16.85546875" style="814" customWidth="1"/>
    <col min="5646" max="5646" width="16.28515625" style="814" customWidth="1"/>
    <col min="5647" max="5647" width="17.7109375" style="814" customWidth="1"/>
    <col min="5648" max="5648" width="17.28515625" style="814" customWidth="1"/>
    <col min="5649" max="5649" width="15.5703125" style="814" customWidth="1"/>
    <col min="5650" max="5650" width="15.28515625" style="814" customWidth="1"/>
    <col min="5651" max="5651" width="8.5703125" style="814" customWidth="1"/>
    <col min="5652" max="5888" width="9.140625" style="814"/>
    <col min="5889" max="5889" width="104.28515625" style="814" customWidth="1"/>
    <col min="5890" max="5890" width="19" style="814" customWidth="1"/>
    <col min="5891" max="5891" width="18.85546875" style="814" customWidth="1"/>
    <col min="5892" max="5892" width="19.140625" style="814" customWidth="1"/>
    <col min="5893" max="5893" width="18.5703125" style="814" customWidth="1"/>
    <col min="5894" max="5894" width="18.85546875" style="814" customWidth="1"/>
    <col min="5895" max="5895" width="18.7109375" style="814" customWidth="1"/>
    <col min="5896" max="5896" width="17.28515625" style="814" customWidth="1"/>
    <col min="5897" max="5897" width="16.42578125" style="814" customWidth="1"/>
    <col min="5898" max="5898" width="17" style="814" customWidth="1"/>
    <col min="5899" max="5899" width="16.42578125" style="814" customWidth="1"/>
    <col min="5900" max="5900" width="16.5703125" style="814" customWidth="1"/>
    <col min="5901" max="5901" width="16.85546875" style="814" customWidth="1"/>
    <col min="5902" max="5902" width="16.28515625" style="814" customWidth="1"/>
    <col min="5903" max="5903" width="17.7109375" style="814" customWidth="1"/>
    <col min="5904" max="5904" width="17.28515625" style="814" customWidth="1"/>
    <col min="5905" max="5905" width="15.5703125" style="814" customWidth="1"/>
    <col min="5906" max="5906" width="15.28515625" style="814" customWidth="1"/>
    <col min="5907" max="5907" width="8.5703125" style="814" customWidth="1"/>
    <col min="5908" max="6144" width="9.140625" style="814"/>
    <col min="6145" max="6145" width="104.28515625" style="814" customWidth="1"/>
    <col min="6146" max="6146" width="19" style="814" customWidth="1"/>
    <col min="6147" max="6147" width="18.85546875" style="814" customWidth="1"/>
    <col min="6148" max="6148" width="19.140625" style="814" customWidth="1"/>
    <col min="6149" max="6149" width="18.5703125" style="814" customWidth="1"/>
    <col min="6150" max="6150" width="18.85546875" style="814" customWidth="1"/>
    <col min="6151" max="6151" width="18.7109375" style="814" customWidth="1"/>
    <col min="6152" max="6152" width="17.28515625" style="814" customWidth="1"/>
    <col min="6153" max="6153" width="16.42578125" style="814" customWidth="1"/>
    <col min="6154" max="6154" width="17" style="814" customWidth="1"/>
    <col min="6155" max="6155" width="16.42578125" style="814" customWidth="1"/>
    <col min="6156" max="6156" width="16.5703125" style="814" customWidth="1"/>
    <col min="6157" max="6157" width="16.85546875" style="814" customWidth="1"/>
    <col min="6158" max="6158" width="16.28515625" style="814" customWidth="1"/>
    <col min="6159" max="6159" width="17.7109375" style="814" customWidth="1"/>
    <col min="6160" max="6160" width="17.28515625" style="814" customWidth="1"/>
    <col min="6161" max="6161" width="15.5703125" style="814" customWidth="1"/>
    <col min="6162" max="6162" width="15.28515625" style="814" customWidth="1"/>
    <col min="6163" max="6163" width="8.5703125" style="814" customWidth="1"/>
    <col min="6164" max="6400" width="9.140625" style="814"/>
    <col min="6401" max="6401" width="104.28515625" style="814" customWidth="1"/>
    <col min="6402" max="6402" width="19" style="814" customWidth="1"/>
    <col min="6403" max="6403" width="18.85546875" style="814" customWidth="1"/>
    <col min="6404" max="6404" width="19.140625" style="814" customWidth="1"/>
    <col min="6405" max="6405" width="18.5703125" style="814" customWidth="1"/>
    <col min="6406" max="6406" width="18.85546875" style="814" customWidth="1"/>
    <col min="6407" max="6407" width="18.7109375" style="814" customWidth="1"/>
    <col min="6408" max="6408" width="17.28515625" style="814" customWidth="1"/>
    <col min="6409" max="6409" width="16.42578125" style="814" customWidth="1"/>
    <col min="6410" max="6410" width="17" style="814" customWidth="1"/>
    <col min="6411" max="6411" width="16.42578125" style="814" customWidth="1"/>
    <col min="6412" max="6412" width="16.5703125" style="814" customWidth="1"/>
    <col min="6413" max="6413" width="16.85546875" style="814" customWidth="1"/>
    <col min="6414" max="6414" width="16.28515625" style="814" customWidth="1"/>
    <col min="6415" max="6415" width="17.7109375" style="814" customWidth="1"/>
    <col min="6416" max="6416" width="17.28515625" style="814" customWidth="1"/>
    <col min="6417" max="6417" width="15.5703125" style="814" customWidth="1"/>
    <col min="6418" max="6418" width="15.28515625" style="814" customWidth="1"/>
    <col min="6419" max="6419" width="8.5703125" style="814" customWidth="1"/>
    <col min="6420" max="6656" width="9.140625" style="814"/>
    <col min="6657" max="6657" width="104.28515625" style="814" customWidth="1"/>
    <col min="6658" max="6658" width="19" style="814" customWidth="1"/>
    <col min="6659" max="6659" width="18.85546875" style="814" customWidth="1"/>
    <col min="6660" max="6660" width="19.140625" style="814" customWidth="1"/>
    <col min="6661" max="6661" width="18.5703125" style="814" customWidth="1"/>
    <col min="6662" max="6662" width="18.85546875" style="814" customWidth="1"/>
    <col min="6663" max="6663" width="18.7109375" style="814" customWidth="1"/>
    <col min="6664" max="6664" width="17.28515625" style="814" customWidth="1"/>
    <col min="6665" max="6665" width="16.42578125" style="814" customWidth="1"/>
    <col min="6666" max="6666" width="17" style="814" customWidth="1"/>
    <col min="6667" max="6667" width="16.42578125" style="814" customWidth="1"/>
    <col min="6668" max="6668" width="16.5703125" style="814" customWidth="1"/>
    <col min="6669" max="6669" width="16.85546875" style="814" customWidth="1"/>
    <col min="6670" max="6670" width="16.28515625" style="814" customWidth="1"/>
    <col min="6671" max="6671" width="17.7109375" style="814" customWidth="1"/>
    <col min="6672" max="6672" width="17.28515625" style="814" customWidth="1"/>
    <col min="6673" max="6673" width="15.5703125" style="814" customWidth="1"/>
    <col min="6674" max="6674" width="15.28515625" style="814" customWidth="1"/>
    <col min="6675" max="6675" width="8.5703125" style="814" customWidth="1"/>
    <col min="6676" max="6912" width="9.140625" style="814"/>
    <col min="6913" max="6913" width="104.28515625" style="814" customWidth="1"/>
    <col min="6914" max="6914" width="19" style="814" customWidth="1"/>
    <col min="6915" max="6915" width="18.85546875" style="814" customWidth="1"/>
    <col min="6916" max="6916" width="19.140625" style="814" customWidth="1"/>
    <col min="6917" max="6917" width="18.5703125" style="814" customWidth="1"/>
    <col min="6918" max="6918" width="18.85546875" style="814" customWidth="1"/>
    <col min="6919" max="6919" width="18.7109375" style="814" customWidth="1"/>
    <col min="6920" max="6920" width="17.28515625" style="814" customWidth="1"/>
    <col min="6921" max="6921" width="16.42578125" style="814" customWidth="1"/>
    <col min="6922" max="6922" width="17" style="814" customWidth="1"/>
    <col min="6923" max="6923" width="16.42578125" style="814" customWidth="1"/>
    <col min="6924" max="6924" width="16.5703125" style="814" customWidth="1"/>
    <col min="6925" max="6925" width="16.85546875" style="814" customWidth="1"/>
    <col min="6926" max="6926" width="16.28515625" style="814" customWidth="1"/>
    <col min="6927" max="6927" width="17.7109375" style="814" customWidth="1"/>
    <col min="6928" max="6928" width="17.28515625" style="814" customWidth="1"/>
    <col min="6929" max="6929" width="15.5703125" style="814" customWidth="1"/>
    <col min="6930" max="6930" width="15.28515625" style="814" customWidth="1"/>
    <col min="6931" max="6931" width="8.5703125" style="814" customWidth="1"/>
    <col min="6932" max="7168" width="9.140625" style="814"/>
    <col min="7169" max="7169" width="104.28515625" style="814" customWidth="1"/>
    <col min="7170" max="7170" width="19" style="814" customWidth="1"/>
    <col min="7171" max="7171" width="18.85546875" style="814" customWidth="1"/>
    <col min="7172" max="7172" width="19.140625" style="814" customWidth="1"/>
    <col min="7173" max="7173" width="18.5703125" style="814" customWidth="1"/>
    <col min="7174" max="7174" width="18.85546875" style="814" customWidth="1"/>
    <col min="7175" max="7175" width="18.7109375" style="814" customWidth="1"/>
    <col min="7176" max="7176" width="17.28515625" style="814" customWidth="1"/>
    <col min="7177" max="7177" width="16.42578125" style="814" customWidth="1"/>
    <col min="7178" max="7178" width="17" style="814" customWidth="1"/>
    <col min="7179" max="7179" width="16.42578125" style="814" customWidth="1"/>
    <col min="7180" max="7180" width="16.5703125" style="814" customWidth="1"/>
    <col min="7181" max="7181" width="16.85546875" style="814" customWidth="1"/>
    <col min="7182" max="7182" width="16.28515625" style="814" customWidth="1"/>
    <col min="7183" max="7183" width="17.7109375" style="814" customWidth="1"/>
    <col min="7184" max="7184" width="17.28515625" style="814" customWidth="1"/>
    <col min="7185" max="7185" width="15.5703125" style="814" customWidth="1"/>
    <col min="7186" max="7186" width="15.28515625" style="814" customWidth="1"/>
    <col min="7187" max="7187" width="8.5703125" style="814" customWidth="1"/>
    <col min="7188" max="7424" width="9.140625" style="814"/>
    <col min="7425" max="7425" width="104.28515625" style="814" customWidth="1"/>
    <col min="7426" max="7426" width="19" style="814" customWidth="1"/>
    <col min="7427" max="7427" width="18.85546875" style="814" customWidth="1"/>
    <col min="7428" max="7428" width="19.140625" style="814" customWidth="1"/>
    <col min="7429" max="7429" width="18.5703125" style="814" customWidth="1"/>
    <col min="7430" max="7430" width="18.85546875" style="814" customWidth="1"/>
    <col min="7431" max="7431" width="18.7109375" style="814" customWidth="1"/>
    <col min="7432" max="7432" width="17.28515625" style="814" customWidth="1"/>
    <col min="7433" max="7433" width="16.42578125" style="814" customWidth="1"/>
    <col min="7434" max="7434" width="17" style="814" customWidth="1"/>
    <col min="7435" max="7435" width="16.42578125" style="814" customWidth="1"/>
    <col min="7436" max="7436" width="16.5703125" style="814" customWidth="1"/>
    <col min="7437" max="7437" width="16.85546875" style="814" customWidth="1"/>
    <col min="7438" max="7438" width="16.28515625" style="814" customWidth="1"/>
    <col min="7439" max="7439" width="17.7109375" style="814" customWidth="1"/>
    <col min="7440" max="7440" width="17.28515625" style="814" customWidth="1"/>
    <col min="7441" max="7441" width="15.5703125" style="814" customWidth="1"/>
    <col min="7442" max="7442" width="15.28515625" style="814" customWidth="1"/>
    <col min="7443" max="7443" width="8.5703125" style="814" customWidth="1"/>
    <col min="7444" max="7680" width="9.140625" style="814"/>
    <col min="7681" max="7681" width="104.28515625" style="814" customWidth="1"/>
    <col min="7682" max="7682" width="19" style="814" customWidth="1"/>
    <col min="7683" max="7683" width="18.85546875" style="814" customWidth="1"/>
    <col min="7684" max="7684" width="19.140625" style="814" customWidth="1"/>
    <col min="7685" max="7685" width="18.5703125" style="814" customWidth="1"/>
    <col min="7686" max="7686" width="18.85546875" style="814" customWidth="1"/>
    <col min="7687" max="7687" width="18.7109375" style="814" customWidth="1"/>
    <col min="7688" max="7688" width="17.28515625" style="814" customWidth="1"/>
    <col min="7689" max="7689" width="16.42578125" style="814" customWidth="1"/>
    <col min="7690" max="7690" width="17" style="814" customWidth="1"/>
    <col min="7691" max="7691" width="16.42578125" style="814" customWidth="1"/>
    <col min="7692" max="7692" width="16.5703125" style="814" customWidth="1"/>
    <col min="7693" max="7693" width="16.85546875" style="814" customWidth="1"/>
    <col min="7694" max="7694" width="16.28515625" style="814" customWidth="1"/>
    <col min="7695" max="7695" width="17.7109375" style="814" customWidth="1"/>
    <col min="7696" max="7696" width="17.28515625" style="814" customWidth="1"/>
    <col min="7697" max="7697" width="15.5703125" style="814" customWidth="1"/>
    <col min="7698" max="7698" width="15.28515625" style="814" customWidth="1"/>
    <col min="7699" max="7699" width="8.5703125" style="814" customWidth="1"/>
    <col min="7700" max="7936" width="9.140625" style="814"/>
    <col min="7937" max="7937" width="104.28515625" style="814" customWidth="1"/>
    <col min="7938" max="7938" width="19" style="814" customWidth="1"/>
    <col min="7939" max="7939" width="18.85546875" style="814" customWidth="1"/>
    <col min="7940" max="7940" width="19.140625" style="814" customWidth="1"/>
    <col min="7941" max="7941" width="18.5703125" style="814" customWidth="1"/>
    <col min="7942" max="7942" width="18.85546875" style="814" customWidth="1"/>
    <col min="7943" max="7943" width="18.7109375" style="814" customWidth="1"/>
    <col min="7944" max="7944" width="17.28515625" style="814" customWidth="1"/>
    <col min="7945" max="7945" width="16.42578125" style="814" customWidth="1"/>
    <col min="7946" max="7946" width="17" style="814" customWidth="1"/>
    <col min="7947" max="7947" width="16.42578125" style="814" customWidth="1"/>
    <col min="7948" max="7948" width="16.5703125" style="814" customWidth="1"/>
    <col min="7949" max="7949" width="16.85546875" style="814" customWidth="1"/>
    <col min="7950" max="7950" width="16.28515625" style="814" customWidth="1"/>
    <col min="7951" max="7951" width="17.7109375" style="814" customWidth="1"/>
    <col min="7952" max="7952" width="17.28515625" style="814" customWidth="1"/>
    <col min="7953" max="7953" width="15.5703125" style="814" customWidth="1"/>
    <col min="7954" max="7954" width="15.28515625" style="814" customWidth="1"/>
    <col min="7955" max="7955" width="8.5703125" style="814" customWidth="1"/>
    <col min="7956" max="8192" width="9.140625" style="814"/>
    <col min="8193" max="8193" width="104.28515625" style="814" customWidth="1"/>
    <col min="8194" max="8194" width="19" style="814" customWidth="1"/>
    <col min="8195" max="8195" width="18.85546875" style="814" customWidth="1"/>
    <col min="8196" max="8196" width="19.140625" style="814" customWidth="1"/>
    <col min="8197" max="8197" width="18.5703125" style="814" customWidth="1"/>
    <col min="8198" max="8198" width="18.85546875" style="814" customWidth="1"/>
    <col min="8199" max="8199" width="18.7109375" style="814" customWidth="1"/>
    <col min="8200" max="8200" width="17.28515625" style="814" customWidth="1"/>
    <col min="8201" max="8201" width="16.42578125" style="814" customWidth="1"/>
    <col min="8202" max="8202" width="17" style="814" customWidth="1"/>
    <col min="8203" max="8203" width="16.42578125" style="814" customWidth="1"/>
    <col min="8204" max="8204" width="16.5703125" style="814" customWidth="1"/>
    <col min="8205" max="8205" width="16.85546875" style="814" customWidth="1"/>
    <col min="8206" max="8206" width="16.28515625" style="814" customWidth="1"/>
    <col min="8207" max="8207" width="17.7109375" style="814" customWidth="1"/>
    <col min="8208" max="8208" width="17.28515625" style="814" customWidth="1"/>
    <col min="8209" max="8209" width="15.5703125" style="814" customWidth="1"/>
    <col min="8210" max="8210" width="15.28515625" style="814" customWidth="1"/>
    <col min="8211" max="8211" width="8.5703125" style="814" customWidth="1"/>
    <col min="8212" max="8448" width="9.140625" style="814"/>
    <col min="8449" max="8449" width="104.28515625" style="814" customWidth="1"/>
    <col min="8450" max="8450" width="19" style="814" customWidth="1"/>
    <col min="8451" max="8451" width="18.85546875" style="814" customWidth="1"/>
    <col min="8452" max="8452" width="19.140625" style="814" customWidth="1"/>
    <col min="8453" max="8453" width="18.5703125" style="814" customWidth="1"/>
    <col min="8454" max="8454" width="18.85546875" style="814" customWidth="1"/>
    <col min="8455" max="8455" width="18.7109375" style="814" customWidth="1"/>
    <col min="8456" max="8456" width="17.28515625" style="814" customWidth="1"/>
    <col min="8457" max="8457" width="16.42578125" style="814" customWidth="1"/>
    <col min="8458" max="8458" width="17" style="814" customWidth="1"/>
    <col min="8459" max="8459" width="16.42578125" style="814" customWidth="1"/>
    <col min="8460" max="8460" width="16.5703125" style="814" customWidth="1"/>
    <col min="8461" max="8461" width="16.85546875" style="814" customWidth="1"/>
    <col min="8462" max="8462" width="16.28515625" style="814" customWidth="1"/>
    <col min="8463" max="8463" width="17.7109375" style="814" customWidth="1"/>
    <col min="8464" max="8464" width="17.28515625" style="814" customWidth="1"/>
    <col min="8465" max="8465" width="15.5703125" style="814" customWidth="1"/>
    <col min="8466" max="8466" width="15.28515625" style="814" customWidth="1"/>
    <col min="8467" max="8467" width="8.5703125" style="814" customWidth="1"/>
    <col min="8468" max="8704" width="9.140625" style="814"/>
    <col min="8705" max="8705" width="104.28515625" style="814" customWidth="1"/>
    <col min="8706" max="8706" width="19" style="814" customWidth="1"/>
    <col min="8707" max="8707" width="18.85546875" style="814" customWidth="1"/>
    <col min="8708" max="8708" width="19.140625" style="814" customWidth="1"/>
    <col min="8709" max="8709" width="18.5703125" style="814" customWidth="1"/>
    <col min="8710" max="8710" width="18.85546875" style="814" customWidth="1"/>
    <col min="8711" max="8711" width="18.7109375" style="814" customWidth="1"/>
    <col min="8712" max="8712" width="17.28515625" style="814" customWidth="1"/>
    <col min="8713" max="8713" width="16.42578125" style="814" customWidth="1"/>
    <col min="8714" max="8714" width="17" style="814" customWidth="1"/>
    <col min="8715" max="8715" width="16.42578125" style="814" customWidth="1"/>
    <col min="8716" max="8716" width="16.5703125" style="814" customWidth="1"/>
    <col min="8717" max="8717" width="16.85546875" style="814" customWidth="1"/>
    <col min="8718" max="8718" width="16.28515625" style="814" customWidth="1"/>
    <col min="8719" max="8719" width="17.7109375" style="814" customWidth="1"/>
    <col min="8720" max="8720" width="17.28515625" style="814" customWidth="1"/>
    <col min="8721" max="8721" width="15.5703125" style="814" customWidth="1"/>
    <col min="8722" max="8722" width="15.28515625" style="814" customWidth="1"/>
    <col min="8723" max="8723" width="8.5703125" style="814" customWidth="1"/>
    <col min="8724" max="8960" width="9.140625" style="814"/>
    <col min="8961" max="8961" width="104.28515625" style="814" customWidth="1"/>
    <col min="8962" max="8962" width="19" style="814" customWidth="1"/>
    <col min="8963" max="8963" width="18.85546875" style="814" customWidth="1"/>
    <col min="8964" max="8964" width="19.140625" style="814" customWidth="1"/>
    <col min="8965" max="8965" width="18.5703125" style="814" customWidth="1"/>
    <col min="8966" max="8966" width="18.85546875" style="814" customWidth="1"/>
    <col min="8967" max="8967" width="18.7109375" style="814" customWidth="1"/>
    <col min="8968" max="8968" width="17.28515625" style="814" customWidth="1"/>
    <col min="8969" max="8969" width="16.42578125" style="814" customWidth="1"/>
    <col min="8970" max="8970" width="17" style="814" customWidth="1"/>
    <col min="8971" max="8971" width="16.42578125" style="814" customWidth="1"/>
    <col min="8972" max="8972" width="16.5703125" style="814" customWidth="1"/>
    <col min="8973" max="8973" width="16.85546875" style="814" customWidth="1"/>
    <col min="8974" max="8974" width="16.28515625" style="814" customWidth="1"/>
    <col min="8975" max="8975" width="17.7109375" style="814" customWidth="1"/>
    <col min="8976" max="8976" width="17.28515625" style="814" customWidth="1"/>
    <col min="8977" max="8977" width="15.5703125" style="814" customWidth="1"/>
    <col min="8978" max="8978" width="15.28515625" style="814" customWidth="1"/>
    <col min="8979" max="8979" width="8.5703125" style="814" customWidth="1"/>
    <col min="8980" max="9216" width="9.140625" style="814"/>
    <col min="9217" max="9217" width="104.28515625" style="814" customWidth="1"/>
    <col min="9218" max="9218" width="19" style="814" customWidth="1"/>
    <col min="9219" max="9219" width="18.85546875" style="814" customWidth="1"/>
    <col min="9220" max="9220" width="19.140625" style="814" customWidth="1"/>
    <col min="9221" max="9221" width="18.5703125" style="814" customWidth="1"/>
    <col min="9222" max="9222" width="18.85546875" style="814" customWidth="1"/>
    <col min="9223" max="9223" width="18.7109375" style="814" customWidth="1"/>
    <col min="9224" max="9224" width="17.28515625" style="814" customWidth="1"/>
    <col min="9225" max="9225" width="16.42578125" style="814" customWidth="1"/>
    <col min="9226" max="9226" width="17" style="814" customWidth="1"/>
    <col min="9227" max="9227" width="16.42578125" style="814" customWidth="1"/>
    <col min="9228" max="9228" width="16.5703125" style="814" customWidth="1"/>
    <col min="9229" max="9229" width="16.85546875" style="814" customWidth="1"/>
    <col min="9230" max="9230" width="16.28515625" style="814" customWidth="1"/>
    <col min="9231" max="9231" width="17.7109375" style="814" customWidth="1"/>
    <col min="9232" max="9232" width="17.28515625" style="814" customWidth="1"/>
    <col min="9233" max="9233" width="15.5703125" style="814" customWidth="1"/>
    <col min="9234" max="9234" width="15.28515625" style="814" customWidth="1"/>
    <col min="9235" max="9235" width="8.5703125" style="814" customWidth="1"/>
    <col min="9236" max="9472" width="9.140625" style="814"/>
    <col min="9473" max="9473" width="104.28515625" style="814" customWidth="1"/>
    <col min="9474" max="9474" width="19" style="814" customWidth="1"/>
    <col min="9475" max="9475" width="18.85546875" style="814" customWidth="1"/>
    <col min="9476" max="9476" width="19.140625" style="814" customWidth="1"/>
    <col min="9477" max="9477" width="18.5703125" style="814" customWidth="1"/>
    <col min="9478" max="9478" width="18.85546875" style="814" customWidth="1"/>
    <col min="9479" max="9479" width="18.7109375" style="814" customWidth="1"/>
    <col min="9480" max="9480" width="17.28515625" style="814" customWidth="1"/>
    <col min="9481" max="9481" width="16.42578125" style="814" customWidth="1"/>
    <col min="9482" max="9482" width="17" style="814" customWidth="1"/>
    <col min="9483" max="9483" width="16.42578125" style="814" customWidth="1"/>
    <col min="9484" max="9484" width="16.5703125" style="814" customWidth="1"/>
    <col min="9485" max="9485" width="16.85546875" style="814" customWidth="1"/>
    <col min="9486" max="9486" width="16.28515625" style="814" customWidth="1"/>
    <col min="9487" max="9487" width="17.7109375" style="814" customWidth="1"/>
    <col min="9488" max="9488" width="17.28515625" style="814" customWidth="1"/>
    <col min="9489" max="9489" width="15.5703125" style="814" customWidth="1"/>
    <col min="9490" max="9490" width="15.28515625" style="814" customWidth="1"/>
    <col min="9491" max="9491" width="8.5703125" style="814" customWidth="1"/>
    <col min="9492" max="9728" width="9.140625" style="814"/>
    <col min="9729" max="9729" width="104.28515625" style="814" customWidth="1"/>
    <col min="9730" max="9730" width="19" style="814" customWidth="1"/>
    <col min="9731" max="9731" width="18.85546875" style="814" customWidth="1"/>
    <col min="9732" max="9732" width="19.140625" style="814" customWidth="1"/>
    <col min="9733" max="9733" width="18.5703125" style="814" customWidth="1"/>
    <col min="9734" max="9734" width="18.85546875" style="814" customWidth="1"/>
    <col min="9735" max="9735" width="18.7109375" style="814" customWidth="1"/>
    <col min="9736" max="9736" width="17.28515625" style="814" customWidth="1"/>
    <col min="9737" max="9737" width="16.42578125" style="814" customWidth="1"/>
    <col min="9738" max="9738" width="17" style="814" customWidth="1"/>
    <col min="9739" max="9739" width="16.42578125" style="814" customWidth="1"/>
    <col min="9740" max="9740" width="16.5703125" style="814" customWidth="1"/>
    <col min="9741" max="9741" width="16.85546875" style="814" customWidth="1"/>
    <col min="9742" max="9742" width="16.28515625" style="814" customWidth="1"/>
    <col min="9743" max="9743" width="17.7109375" style="814" customWidth="1"/>
    <col min="9744" max="9744" width="17.28515625" style="814" customWidth="1"/>
    <col min="9745" max="9745" width="15.5703125" style="814" customWidth="1"/>
    <col min="9746" max="9746" width="15.28515625" style="814" customWidth="1"/>
    <col min="9747" max="9747" width="8.5703125" style="814" customWidth="1"/>
    <col min="9748" max="9984" width="9.140625" style="814"/>
    <col min="9985" max="9985" width="104.28515625" style="814" customWidth="1"/>
    <col min="9986" max="9986" width="19" style="814" customWidth="1"/>
    <col min="9987" max="9987" width="18.85546875" style="814" customWidth="1"/>
    <col min="9988" max="9988" width="19.140625" style="814" customWidth="1"/>
    <col min="9989" max="9989" width="18.5703125" style="814" customWidth="1"/>
    <col min="9990" max="9990" width="18.85546875" style="814" customWidth="1"/>
    <col min="9991" max="9991" width="18.7109375" style="814" customWidth="1"/>
    <col min="9992" max="9992" width="17.28515625" style="814" customWidth="1"/>
    <col min="9993" max="9993" width="16.42578125" style="814" customWidth="1"/>
    <col min="9994" max="9994" width="17" style="814" customWidth="1"/>
    <col min="9995" max="9995" width="16.42578125" style="814" customWidth="1"/>
    <col min="9996" max="9996" width="16.5703125" style="814" customWidth="1"/>
    <col min="9997" max="9997" width="16.85546875" style="814" customWidth="1"/>
    <col min="9998" max="9998" width="16.28515625" style="814" customWidth="1"/>
    <col min="9999" max="9999" width="17.7109375" style="814" customWidth="1"/>
    <col min="10000" max="10000" width="17.28515625" style="814" customWidth="1"/>
    <col min="10001" max="10001" width="15.5703125" style="814" customWidth="1"/>
    <col min="10002" max="10002" width="15.28515625" style="814" customWidth="1"/>
    <col min="10003" max="10003" width="8.5703125" style="814" customWidth="1"/>
    <col min="10004" max="10240" width="9.140625" style="814"/>
    <col min="10241" max="10241" width="104.28515625" style="814" customWidth="1"/>
    <col min="10242" max="10242" width="19" style="814" customWidth="1"/>
    <col min="10243" max="10243" width="18.85546875" style="814" customWidth="1"/>
    <col min="10244" max="10244" width="19.140625" style="814" customWidth="1"/>
    <col min="10245" max="10245" width="18.5703125" style="814" customWidth="1"/>
    <col min="10246" max="10246" width="18.85546875" style="814" customWidth="1"/>
    <col min="10247" max="10247" width="18.7109375" style="814" customWidth="1"/>
    <col min="10248" max="10248" width="17.28515625" style="814" customWidth="1"/>
    <col min="10249" max="10249" width="16.42578125" style="814" customWidth="1"/>
    <col min="10250" max="10250" width="17" style="814" customWidth="1"/>
    <col min="10251" max="10251" width="16.42578125" style="814" customWidth="1"/>
    <col min="10252" max="10252" width="16.5703125" style="814" customWidth="1"/>
    <col min="10253" max="10253" width="16.85546875" style="814" customWidth="1"/>
    <col min="10254" max="10254" width="16.28515625" style="814" customWidth="1"/>
    <col min="10255" max="10255" width="17.7109375" style="814" customWidth="1"/>
    <col min="10256" max="10256" width="17.28515625" style="814" customWidth="1"/>
    <col min="10257" max="10257" width="15.5703125" style="814" customWidth="1"/>
    <col min="10258" max="10258" width="15.28515625" style="814" customWidth="1"/>
    <col min="10259" max="10259" width="8.5703125" style="814" customWidth="1"/>
    <col min="10260" max="10496" width="9.140625" style="814"/>
    <col min="10497" max="10497" width="104.28515625" style="814" customWidth="1"/>
    <col min="10498" max="10498" width="19" style="814" customWidth="1"/>
    <col min="10499" max="10499" width="18.85546875" style="814" customWidth="1"/>
    <col min="10500" max="10500" width="19.140625" style="814" customWidth="1"/>
    <col min="10501" max="10501" width="18.5703125" style="814" customWidth="1"/>
    <col min="10502" max="10502" width="18.85546875" style="814" customWidth="1"/>
    <col min="10503" max="10503" width="18.7109375" style="814" customWidth="1"/>
    <col min="10504" max="10504" width="17.28515625" style="814" customWidth="1"/>
    <col min="10505" max="10505" width="16.42578125" style="814" customWidth="1"/>
    <col min="10506" max="10506" width="17" style="814" customWidth="1"/>
    <col min="10507" max="10507" width="16.42578125" style="814" customWidth="1"/>
    <col min="10508" max="10508" width="16.5703125" style="814" customWidth="1"/>
    <col min="10509" max="10509" width="16.85546875" style="814" customWidth="1"/>
    <col min="10510" max="10510" width="16.28515625" style="814" customWidth="1"/>
    <col min="10511" max="10511" width="17.7109375" style="814" customWidth="1"/>
    <col min="10512" max="10512" width="17.28515625" style="814" customWidth="1"/>
    <col min="10513" max="10513" width="15.5703125" style="814" customWidth="1"/>
    <col min="10514" max="10514" width="15.28515625" style="814" customWidth="1"/>
    <col min="10515" max="10515" width="8.5703125" style="814" customWidth="1"/>
    <col min="10516" max="10752" width="9.140625" style="814"/>
    <col min="10753" max="10753" width="104.28515625" style="814" customWidth="1"/>
    <col min="10754" max="10754" width="19" style="814" customWidth="1"/>
    <col min="10755" max="10755" width="18.85546875" style="814" customWidth="1"/>
    <col min="10756" max="10756" width="19.140625" style="814" customWidth="1"/>
    <col min="10757" max="10757" width="18.5703125" style="814" customWidth="1"/>
    <col min="10758" max="10758" width="18.85546875" style="814" customWidth="1"/>
    <col min="10759" max="10759" width="18.7109375" style="814" customWidth="1"/>
    <col min="10760" max="10760" width="17.28515625" style="814" customWidth="1"/>
    <col min="10761" max="10761" width="16.42578125" style="814" customWidth="1"/>
    <col min="10762" max="10762" width="17" style="814" customWidth="1"/>
    <col min="10763" max="10763" width="16.42578125" style="814" customWidth="1"/>
    <col min="10764" max="10764" width="16.5703125" style="814" customWidth="1"/>
    <col min="10765" max="10765" width="16.85546875" style="814" customWidth="1"/>
    <col min="10766" max="10766" width="16.28515625" style="814" customWidth="1"/>
    <col min="10767" max="10767" width="17.7109375" style="814" customWidth="1"/>
    <col min="10768" max="10768" width="17.28515625" style="814" customWidth="1"/>
    <col min="10769" max="10769" width="15.5703125" style="814" customWidth="1"/>
    <col min="10770" max="10770" width="15.28515625" style="814" customWidth="1"/>
    <col min="10771" max="10771" width="8.5703125" style="814" customWidth="1"/>
    <col min="10772" max="11008" width="9.140625" style="814"/>
    <col min="11009" max="11009" width="104.28515625" style="814" customWidth="1"/>
    <col min="11010" max="11010" width="19" style="814" customWidth="1"/>
    <col min="11011" max="11011" width="18.85546875" style="814" customWidth="1"/>
    <col min="11012" max="11012" width="19.140625" style="814" customWidth="1"/>
    <col min="11013" max="11013" width="18.5703125" style="814" customWidth="1"/>
    <col min="11014" max="11014" width="18.85546875" style="814" customWidth="1"/>
    <col min="11015" max="11015" width="18.7109375" style="814" customWidth="1"/>
    <col min="11016" max="11016" width="17.28515625" style="814" customWidth="1"/>
    <col min="11017" max="11017" width="16.42578125" style="814" customWidth="1"/>
    <col min="11018" max="11018" width="17" style="814" customWidth="1"/>
    <col min="11019" max="11019" width="16.42578125" style="814" customWidth="1"/>
    <col min="11020" max="11020" width="16.5703125" style="814" customWidth="1"/>
    <col min="11021" max="11021" width="16.85546875" style="814" customWidth="1"/>
    <col min="11022" max="11022" width="16.28515625" style="814" customWidth="1"/>
    <col min="11023" max="11023" width="17.7109375" style="814" customWidth="1"/>
    <col min="11024" max="11024" width="17.28515625" style="814" customWidth="1"/>
    <col min="11025" max="11025" width="15.5703125" style="814" customWidth="1"/>
    <col min="11026" max="11026" width="15.28515625" style="814" customWidth="1"/>
    <col min="11027" max="11027" width="8.5703125" style="814" customWidth="1"/>
    <col min="11028" max="11264" width="9.140625" style="814"/>
    <col min="11265" max="11265" width="104.28515625" style="814" customWidth="1"/>
    <col min="11266" max="11266" width="19" style="814" customWidth="1"/>
    <col min="11267" max="11267" width="18.85546875" style="814" customWidth="1"/>
    <col min="11268" max="11268" width="19.140625" style="814" customWidth="1"/>
    <col min="11269" max="11269" width="18.5703125" style="814" customWidth="1"/>
    <col min="11270" max="11270" width="18.85546875" style="814" customWidth="1"/>
    <col min="11271" max="11271" width="18.7109375" style="814" customWidth="1"/>
    <col min="11272" max="11272" width="17.28515625" style="814" customWidth="1"/>
    <col min="11273" max="11273" width="16.42578125" style="814" customWidth="1"/>
    <col min="11274" max="11274" width="17" style="814" customWidth="1"/>
    <col min="11275" max="11275" width="16.42578125" style="814" customWidth="1"/>
    <col min="11276" max="11276" width="16.5703125" style="814" customWidth="1"/>
    <col min="11277" max="11277" width="16.85546875" style="814" customWidth="1"/>
    <col min="11278" max="11278" width="16.28515625" style="814" customWidth="1"/>
    <col min="11279" max="11279" width="17.7109375" style="814" customWidth="1"/>
    <col min="11280" max="11280" width="17.28515625" style="814" customWidth="1"/>
    <col min="11281" max="11281" width="15.5703125" style="814" customWidth="1"/>
    <col min="11282" max="11282" width="15.28515625" style="814" customWidth="1"/>
    <col min="11283" max="11283" width="8.5703125" style="814" customWidth="1"/>
    <col min="11284" max="11520" width="9.140625" style="814"/>
    <col min="11521" max="11521" width="104.28515625" style="814" customWidth="1"/>
    <col min="11522" max="11522" width="19" style="814" customWidth="1"/>
    <col min="11523" max="11523" width="18.85546875" style="814" customWidth="1"/>
    <col min="11524" max="11524" width="19.140625" style="814" customWidth="1"/>
    <col min="11525" max="11525" width="18.5703125" style="814" customWidth="1"/>
    <col min="11526" max="11526" width="18.85546875" style="814" customWidth="1"/>
    <col min="11527" max="11527" width="18.7109375" style="814" customWidth="1"/>
    <col min="11528" max="11528" width="17.28515625" style="814" customWidth="1"/>
    <col min="11529" max="11529" width="16.42578125" style="814" customWidth="1"/>
    <col min="11530" max="11530" width="17" style="814" customWidth="1"/>
    <col min="11531" max="11531" width="16.42578125" style="814" customWidth="1"/>
    <col min="11532" max="11532" width="16.5703125" style="814" customWidth="1"/>
    <col min="11533" max="11533" width="16.85546875" style="814" customWidth="1"/>
    <col min="11534" max="11534" width="16.28515625" style="814" customWidth="1"/>
    <col min="11535" max="11535" width="17.7109375" style="814" customWidth="1"/>
    <col min="11536" max="11536" width="17.28515625" style="814" customWidth="1"/>
    <col min="11537" max="11537" width="15.5703125" style="814" customWidth="1"/>
    <col min="11538" max="11538" width="15.28515625" style="814" customWidth="1"/>
    <col min="11539" max="11539" width="8.5703125" style="814" customWidth="1"/>
    <col min="11540" max="11776" width="9.140625" style="814"/>
    <col min="11777" max="11777" width="104.28515625" style="814" customWidth="1"/>
    <col min="11778" max="11778" width="19" style="814" customWidth="1"/>
    <col min="11779" max="11779" width="18.85546875" style="814" customWidth="1"/>
    <col min="11780" max="11780" width="19.140625" style="814" customWidth="1"/>
    <col min="11781" max="11781" width="18.5703125" style="814" customWidth="1"/>
    <col min="11782" max="11782" width="18.85546875" style="814" customWidth="1"/>
    <col min="11783" max="11783" width="18.7109375" style="814" customWidth="1"/>
    <col min="11784" max="11784" width="17.28515625" style="814" customWidth="1"/>
    <col min="11785" max="11785" width="16.42578125" style="814" customWidth="1"/>
    <col min="11786" max="11786" width="17" style="814" customWidth="1"/>
    <col min="11787" max="11787" width="16.42578125" style="814" customWidth="1"/>
    <col min="11788" max="11788" width="16.5703125" style="814" customWidth="1"/>
    <col min="11789" max="11789" width="16.85546875" style="814" customWidth="1"/>
    <col min="11790" max="11790" width="16.28515625" style="814" customWidth="1"/>
    <col min="11791" max="11791" width="17.7109375" style="814" customWidth="1"/>
    <col min="11792" max="11792" width="17.28515625" style="814" customWidth="1"/>
    <col min="11793" max="11793" width="15.5703125" style="814" customWidth="1"/>
    <col min="11794" max="11794" width="15.28515625" style="814" customWidth="1"/>
    <col min="11795" max="11795" width="8.5703125" style="814" customWidth="1"/>
    <col min="11796" max="12032" width="9.140625" style="814"/>
    <col min="12033" max="12033" width="104.28515625" style="814" customWidth="1"/>
    <col min="12034" max="12034" width="19" style="814" customWidth="1"/>
    <col min="12035" max="12035" width="18.85546875" style="814" customWidth="1"/>
    <col min="12036" max="12036" width="19.140625" style="814" customWidth="1"/>
    <col min="12037" max="12037" width="18.5703125" style="814" customWidth="1"/>
    <col min="12038" max="12038" width="18.85546875" style="814" customWidth="1"/>
    <col min="12039" max="12039" width="18.7109375" style="814" customWidth="1"/>
    <col min="12040" max="12040" width="17.28515625" style="814" customWidth="1"/>
    <col min="12041" max="12041" width="16.42578125" style="814" customWidth="1"/>
    <col min="12042" max="12042" width="17" style="814" customWidth="1"/>
    <col min="12043" max="12043" width="16.42578125" style="814" customWidth="1"/>
    <col min="12044" max="12044" width="16.5703125" style="814" customWidth="1"/>
    <col min="12045" max="12045" width="16.85546875" style="814" customWidth="1"/>
    <col min="12046" max="12046" width="16.28515625" style="814" customWidth="1"/>
    <col min="12047" max="12047" width="17.7109375" style="814" customWidth="1"/>
    <col min="12048" max="12048" width="17.28515625" style="814" customWidth="1"/>
    <col min="12049" max="12049" width="15.5703125" style="814" customWidth="1"/>
    <col min="12050" max="12050" width="15.28515625" style="814" customWidth="1"/>
    <col min="12051" max="12051" width="8.5703125" style="814" customWidth="1"/>
    <col min="12052" max="12288" width="9.140625" style="814"/>
    <col min="12289" max="12289" width="104.28515625" style="814" customWidth="1"/>
    <col min="12290" max="12290" width="19" style="814" customWidth="1"/>
    <col min="12291" max="12291" width="18.85546875" style="814" customWidth="1"/>
    <col min="12292" max="12292" width="19.140625" style="814" customWidth="1"/>
    <col min="12293" max="12293" width="18.5703125" style="814" customWidth="1"/>
    <col min="12294" max="12294" width="18.85546875" style="814" customWidth="1"/>
    <col min="12295" max="12295" width="18.7109375" style="814" customWidth="1"/>
    <col min="12296" max="12296" width="17.28515625" style="814" customWidth="1"/>
    <col min="12297" max="12297" width="16.42578125" style="814" customWidth="1"/>
    <col min="12298" max="12298" width="17" style="814" customWidth="1"/>
    <col min="12299" max="12299" width="16.42578125" style="814" customWidth="1"/>
    <col min="12300" max="12300" width="16.5703125" style="814" customWidth="1"/>
    <col min="12301" max="12301" width="16.85546875" style="814" customWidth="1"/>
    <col min="12302" max="12302" width="16.28515625" style="814" customWidth="1"/>
    <col min="12303" max="12303" width="17.7109375" style="814" customWidth="1"/>
    <col min="12304" max="12304" width="17.28515625" style="814" customWidth="1"/>
    <col min="12305" max="12305" width="15.5703125" style="814" customWidth="1"/>
    <col min="12306" max="12306" width="15.28515625" style="814" customWidth="1"/>
    <col min="12307" max="12307" width="8.5703125" style="814" customWidth="1"/>
    <col min="12308" max="12544" width="9.140625" style="814"/>
    <col min="12545" max="12545" width="104.28515625" style="814" customWidth="1"/>
    <col min="12546" max="12546" width="19" style="814" customWidth="1"/>
    <col min="12547" max="12547" width="18.85546875" style="814" customWidth="1"/>
    <col min="12548" max="12548" width="19.140625" style="814" customWidth="1"/>
    <col min="12549" max="12549" width="18.5703125" style="814" customWidth="1"/>
    <col min="12550" max="12550" width="18.85546875" style="814" customWidth="1"/>
    <col min="12551" max="12551" width="18.7109375" style="814" customWidth="1"/>
    <col min="12552" max="12552" width="17.28515625" style="814" customWidth="1"/>
    <col min="12553" max="12553" width="16.42578125" style="814" customWidth="1"/>
    <col min="12554" max="12554" width="17" style="814" customWidth="1"/>
    <col min="12555" max="12555" width="16.42578125" style="814" customWidth="1"/>
    <col min="12556" max="12556" width="16.5703125" style="814" customWidth="1"/>
    <col min="12557" max="12557" width="16.85546875" style="814" customWidth="1"/>
    <col min="12558" max="12558" width="16.28515625" style="814" customWidth="1"/>
    <col min="12559" max="12559" width="17.7109375" style="814" customWidth="1"/>
    <col min="12560" max="12560" width="17.28515625" style="814" customWidth="1"/>
    <col min="12561" max="12561" width="15.5703125" style="814" customWidth="1"/>
    <col min="12562" max="12562" width="15.28515625" style="814" customWidth="1"/>
    <col min="12563" max="12563" width="8.5703125" style="814" customWidth="1"/>
    <col min="12564" max="12800" width="9.140625" style="814"/>
    <col min="12801" max="12801" width="104.28515625" style="814" customWidth="1"/>
    <col min="12802" max="12802" width="19" style="814" customWidth="1"/>
    <col min="12803" max="12803" width="18.85546875" style="814" customWidth="1"/>
    <col min="12804" max="12804" width="19.140625" style="814" customWidth="1"/>
    <col min="12805" max="12805" width="18.5703125" style="814" customWidth="1"/>
    <col min="12806" max="12806" width="18.85546875" style="814" customWidth="1"/>
    <col min="12807" max="12807" width="18.7109375" style="814" customWidth="1"/>
    <col min="12808" max="12808" width="17.28515625" style="814" customWidth="1"/>
    <col min="12809" max="12809" width="16.42578125" style="814" customWidth="1"/>
    <col min="12810" max="12810" width="17" style="814" customWidth="1"/>
    <col min="12811" max="12811" width="16.42578125" style="814" customWidth="1"/>
    <col min="12812" max="12812" width="16.5703125" style="814" customWidth="1"/>
    <col min="12813" max="12813" width="16.85546875" style="814" customWidth="1"/>
    <col min="12814" max="12814" width="16.28515625" style="814" customWidth="1"/>
    <col min="12815" max="12815" width="17.7109375" style="814" customWidth="1"/>
    <col min="12816" max="12816" width="17.28515625" style="814" customWidth="1"/>
    <col min="12817" max="12817" width="15.5703125" style="814" customWidth="1"/>
    <col min="12818" max="12818" width="15.28515625" style="814" customWidth="1"/>
    <col min="12819" max="12819" width="8.5703125" style="814" customWidth="1"/>
    <col min="12820" max="13056" width="9.140625" style="814"/>
    <col min="13057" max="13057" width="104.28515625" style="814" customWidth="1"/>
    <col min="13058" max="13058" width="19" style="814" customWidth="1"/>
    <col min="13059" max="13059" width="18.85546875" style="814" customWidth="1"/>
    <col min="13060" max="13060" width="19.140625" style="814" customWidth="1"/>
    <col min="13061" max="13061" width="18.5703125" style="814" customWidth="1"/>
    <col min="13062" max="13062" width="18.85546875" style="814" customWidth="1"/>
    <col min="13063" max="13063" width="18.7109375" style="814" customWidth="1"/>
    <col min="13064" max="13064" width="17.28515625" style="814" customWidth="1"/>
    <col min="13065" max="13065" width="16.42578125" style="814" customWidth="1"/>
    <col min="13066" max="13066" width="17" style="814" customWidth="1"/>
    <col min="13067" max="13067" width="16.42578125" style="814" customWidth="1"/>
    <col min="13068" max="13068" width="16.5703125" style="814" customWidth="1"/>
    <col min="13069" max="13069" width="16.85546875" style="814" customWidth="1"/>
    <col min="13070" max="13070" width="16.28515625" style="814" customWidth="1"/>
    <col min="13071" max="13071" width="17.7109375" style="814" customWidth="1"/>
    <col min="13072" max="13072" width="17.28515625" style="814" customWidth="1"/>
    <col min="13073" max="13073" width="15.5703125" style="814" customWidth="1"/>
    <col min="13074" max="13074" width="15.28515625" style="814" customWidth="1"/>
    <col min="13075" max="13075" width="8.5703125" style="814" customWidth="1"/>
    <col min="13076" max="13312" width="9.140625" style="814"/>
    <col min="13313" max="13313" width="104.28515625" style="814" customWidth="1"/>
    <col min="13314" max="13314" width="19" style="814" customWidth="1"/>
    <col min="13315" max="13315" width="18.85546875" style="814" customWidth="1"/>
    <col min="13316" max="13316" width="19.140625" style="814" customWidth="1"/>
    <col min="13317" max="13317" width="18.5703125" style="814" customWidth="1"/>
    <col min="13318" max="13318" width="18.85546875" style="814" customWidth="1"/>
    <col min="13319" max="13319" width="18.7109375" style="814" customWidth="1"/>
    <col min="13320" max="13320" width="17.28515625" style="814" customWidth="1"/>
    <col min="13321" max="13321" width="16.42578125" style="814" customWidth="1"/>
    <col min="13322" max="13322" width="17" style="814" customWidth="1"/>
    <col min="13323" max="13323" width="16.42578125" style="814" customWidth="1"/>
    <col min="13324" max="13324" width="16.5703125" style="814" customWidth="1"/>
    <col min="13325" max="13325" width="16.85546875" style="814" customWidth="1"/>
    <col min="13326" max="13326" width="16.28515625" style="814" customWidth="1"/>
    <col min="13327" max="13327" width="17.7109375" style="814" customWidth="1"/>
    <col min="13328" max="13328" width="17.28515625" style="814" customWidth="1"/>
    <col min="13329" max="13329" width="15.5703125" style="814" customWidth="1"/>
    <col min="13330" max="13330" width="15.28515625" style="814" customWidth="1"/>
    <col min="13331" max="13331" width="8.5703125" style="814" customWidth="1"/>
    <col min="13332" max="13568" width="9.140625" style="814"/>
    <col min="13569" max="13569" width="104.28515625" style="814" customWidth="1"/>
    <col min="13570" max="13570" width="19" style="814" customWidth="1"/>
    <col min="13571" max="13571" width="18.85546875" style="814" customWidth="1"/>
    <col min="13572" max="13572" width="19.140625" style="814" customWidth="1"/>
    <col min="13573" max="13573" width="18.5703125" style="814" customWidth="1"/>
    <col min="13574" max="13574" width="18.85546875" style="814" customWidth="1"/>
    <col min="13575" max="13575" width="18.7109375" style="814" customWidth="1"/>
    <col min="13576" max="13576" width="17.28515625" style="814" customWidth="1"/>
    <col min="13577" max="13577" width="16.42578125" style="814" customWidth="1"/>
    <col min="13578" max="13578" width="17" style="814" customWidth="1"/>
    <col min="13579" max="13579" width="16.42578125" style="814" customWidth="1"/>
    <col min="13580" max="13580" width="16.5703125" style="814" customWidth="1"/>
    <col min="13581" max="13581" width="16.85546875" style="814" customWidth="1"/>
    <col min="13582" max="13582" width="16.28515625" style="814" customWidth="1"/>
    <col min="13583" max="13583" width="17.7109375" style="814" customWidth="1"/>
    <col min="13584" max="13584" width="17.28515625" style="814" customWidth="1"/>
    <col min="13585" max="13585" width="15.5703125" style="814" customWidth="1"/>
    <col min="13586" max="13586" width="15.28515625" style="814" customWidth="1"/>
    <col min="13587" max="13587" width="8.5703125" style="814" customWidth="1"/>
    <col min="13588" max="13824" width="9.140625" style="814"/>
    <col min="13825" max="13825" width="104.28515625" style="814" customWidth="1"/>
    <col min="13826" max="13826" width="19" style="814" customWidth="1"/>
    <col min="13827" max="13827" width="18.85546875" style="814" customWidth="1"/>
    <col min="13828" max="13828" width="19.140625" style="814" customWidth="1"/>
    <col min="13829" max="13829" width="18.5703125" style="814" customWidth="1"/>
    <col min="13830" max="13830" width="18.85546875" style="814" customWidth="1"/>
    <col min="13831" max="13831" width="18.7109375" style="814" customWidth="1"/>
    <col min="13832" max="13832" width="17.28515625" style="814" customWidth="1"/>
    <col min="13833" max="13833" width="16.42578125" style="814" customWidth="1"/>
    <col min="13834" max="13834" width="17" style="814" customWidth="1"/>
    <col min="13835" max="13835" width="16.42578125" style="814" customWidth="1"/>
    <col min="13836" max="13836" width="16.5703125" style="814" customWidth="1"/>
    <col min="13837" max="13837" width="16.85546875" style="814" customWidth="1"/>
    <col min="13838" max="13838" width="16.28515625" style="814" customWidth="1"/>
    <col min="13839" max="13839" width="17.7109375" style="814" customWidth="1"/>
    <col min="13840" max="13840" width="17.28515625" style="814" customWidth="1"/>
    <col min="13841" max="13841" width="15.5703125" style="814" customWidth="1"/>
    <col min="13842" max="13842" width="15.28515625" style="814" customWidth="1"/>
    <col min="13843" max="13843" width="8.5703125" style="814" customWidth="1"/>
    <col min="13844" max="14080" width="9.140625" style="814"/>
    <col min="14081" max="14081" width="104.28515625" style="814" customWidth="1"/>
    <col min="14082" max="14082" width="19" style="814" customWidth="1"/>
    <col min="14083" max="14083" width="18.85546875" style="814" customWidth="1"/>
    <col min="14084" max="14084" width="19.140625" style="814" customWidth="1"/>
    <col min="14085" max="14085" width="18.5703125" style="814" customWidth="1"/>
    <col min="14086" max="14086" width="18.85546875" style="814" customWidth="1"/>
    <col min="14087" max="14087" width="18.7109375" style="814" customWidth="1"/>
    <col min="14088" max="14088" width="17.28515625" style="814" customWidth="1"/>
    <col min="14089" max="14089" width="16.42578125" style="814" customWidth="1"/>
    <col min="14090" max="14090" width="17" style="814" customWidth="1"/>
    <col min="14091" max="14091" width="16.42578125" style="814" customWidth="1"/>
    <col min="14092" max="14092" width="16.5703125" style="814" customWidth="1"/>
    <col min="14093" max="14093" width="16.85546875" style="814" customWidth="1"/>
    <col min="14094" max="14094" width="16.28515625" style="814" customWidth="1"/>
    <col min="14095" max="14095" width="17.7109375" style="814" customWidth="1"/>
    <col min="14096" max="14096" width="17.28515625" style="814" customWidth="1"/>
    <col min="14097" max="14097" width="15.5703125" style="814" customWidth="1"/>
    <col min="14098" max="14098" width="15.28515625" style="814" customWidth="1"/>
    <col min="14099" max="14099" width="8.5703125" style="814" customWidth="1"/>
    <col min="14100" max="14336" width="9.140625" style="814"/>
    <col min="14337" max="14337" width="104.28515625" style="814" customWidth="1"/>
    <col min="14338" max="14338" width="19" style="814" customWidth="1"/>
    <col min="14339" max="14339" width="18.85546875" style="814" customWidth="1"/>
    <col min="14340" max="14340" width="19.140625" style="814" customWidth="1"/>
    <col min="14341" max="14341" width="18.5703125" style="814" customWidth="1"/>
    <col min="14342" max="14342" width="18.85546875" style="814" customWidth="1"/>
    <col min="14343" max="14343" width="18.7109375" style="814" customWidth="1"/>
    <col min="14344" max="14344" width="17.28515625" style="814" customWidth="1"/>
    <col min="14345" max="14345" width="16.42578125" style="814" customWidth="1"/>
    <col min="14346" max="14346" width="17" style="814" customWidth="1"/>
    <col min="14347" max="14347" width="16.42578125" style="814" customWidth="1"/>
    <col min="14348" max="14348" width="16.5703125" style="814" customWidth="1"/>
    <col min="14349" max="14349" width="16.85546875" style="814" customWidth="1"/>
    <col min="14350" max="14350" width="16.28515625" style="814" customWidth="1"/>
    <col min="14351" max="14351" width="17.7109375" style="814" customWidth="1"/>
    <col min="14352" max="14352" width="17.28515625" style="814" customWidth="1"/>
    <col min="14353" max="14353" width="15.5703125" style="814" customWidth="1"/>
    <col min="14354" max="14354" width="15.28515625" style="814" customWidth="1"/>
    <col min="14355" max="14355" width="8.5703125" style="814" customWidth="1"/>
    <col min="14356" max="14592" width="9.140625" style="814"/>
    <col min="14593" max="14593" width="104.28515625" style="814" customWidth="1"/>
    <col min="14594" max="14594" width="19" style="814" customWidth="1"/>
    <col min="14595" max="14595" width="18.85546875" style="814" customWidth="1"/>
    <col min="14596" max="14596" width="19.140625" style="814" customWidth="1"/>
    <col min="14597" max="14597" width="18.5703125" style="814" customWidth="1"/>
    <col min="14598" max="14598" width="18.85546875" style="814" customWidth="1"/>
    <col min="14599" max="14599" width="18.7109375" style="814" customWidth="1"/>
    <col min="14600" max="14600" width="17.28515625" style="814" customWidth="1"/>
    <col min="14601" max="14601" width="16.42578125" style="814" customWidth="1"/>
    <col min="14602" max="14602" width="17" style="814" customWidth="1"/>
    <col min="14603" max="14603" width="16.42578125" style="814" customWidth="1"/>
    <col min="14604" max="14604" width="16.5703125" style="814" customWidth="1"/>
    <col min="14605" max="14605" width="16.85546875" style="814" customWidth="1"/>
    <col min="14606" max="14606" width="16.28515625" style="814" customWidth="1"/>
    <col min="14607" max="14607" width="17.7109375" style="814" customWidth="1"/>
    <col min="14608" max="14608" width="17.28515625" style="814" customWidth="1"/>
    <col min="14609" max="14609" width="15.5703125" style="814" customWidth="1"/>
    <col min="14610" max="14610" width="15.28515625" style="814" customWidth="1"/>
    <col min="14611" max="14611" width="8.5703125" style="814" customWidth="1"/>
    <col min="14612" max="14848" width="9.140625" style="814"/>
    <col min="14849" max="14849" width="104.28515625" style="814" customWidth="1"/>
    <col min="14850" max="14850" width="19" style="814" customWidth="1"/>
    <col min="14851" max="14851" width="18.85546875" style="814" customWidth="1"/>
    <col min="14852" max="14852" width="19.140625" style="814" customWidth="1"/>
    <col min="14853" max="14853" width="18.5703125" style="814" customWidth="1"/>
    <col min="14854" max="14854" width="18.85546875" style="814" customWidth="1"/>
    <col min="14855" max="14855" width="18.7109375" style="814" customWidth="1"/>
    <col min="14856" max="14856" width="17.28515625" style="814" customWidth="1"/>
    <col min="14857" max="14857" width="16.42578125" style="814" customWidth="1"/>
    <col min="14858" max="14858" width="17" style="814" customWidth="1"/>
    <col min="14859" max="14859" width="16.42578125" style="814" customWidth="1"/>
    <col min="14860" max="14860" width="16.5703125" style="814" customWidth="1"/>
    <col min="14861" max="14861" width="16.85546875" style="814" customWidth="1"/>
    <col min="14862" max="14862" width="16.28515625" style="814" customWidth="1"/>
    <col min="14863" max="14863" width="17.7109375" style="814" customWidth="1"/>
    <col min="14864" max="14864" width="17.28515625" style="814" customWidth="1"/>
    <col min="14865" max="14865" width="15.5703125" style="814" customWidth="1"/>
    <col min="14866" max="14866" width="15.28515625" style="814" customWidth="1"/>
    <col min="14867" max="14867" width="8.5703125" style="814" customWidth="1"/>
    <col min="14868" max="15104" width="9.140625" style="814"/>
    <col min="15105" max="15105" width="104.28515625" style="814" customWidth="1"/>
    <col min="15106" max="15106" width="19" style="814" customWidth="1"/>
    <col min="15107" max="15107" width="18.85546875" style="814" customWidth="1"/>
    <col min="15108" max="15108" width="19.140625" style="814" customWidth="1"/>
    <col min="15109" max="15109" width="18.5703125" style="814" customWidth="1"/>
    <col min="15110" max="15110" width="18.85546875" style="814" customWidth="1"/>
    <col min="15111" max="15111" width="18.7109375" style="814" customWidth="1"/>
    <col min="15112" max="15112" width="17.28515625" style="814" customWidth="1"/>
    <col min="15113" max="15113" width="16.42578125" style="814" customWidth="1"/>
    <col min="15114" max="15114" width="17" style="814" customWidth="1"/>
    <col min="15115" max="15115" width="16.42578125" style="814" customWidth="1"/>
    <col min="15116" max="15116" width="16.5703125" style="814" customWidth="1"/>
    <col min="15117" max="15117" width="16.85546875" style="814" customWidth="1"/>
    <col min="15118" max="15118" width="16.28515625" style="814" customWidth="1"/>
    <col min="15119" max="15119" width="17.7109375" style="814" customWidth="1"/>
    <col min="15120" max="15120" width="17.28515625" style="814" customWidth="1"/>
    <col min="15121" max="15121" width="15.5703125" style="814" customWidth="1"/>
    <col min="15122" max="15122" width="15.28515625" style="814" customWidth="1"/>
    <col min="15123" max="15123" width="8.5703125" style="814" customWidth="1"/>
    <col min="15124" max="15360" width="9.140625" style="814"/>
    <col min="15361" max="15361" width="104.28515625" style="814" customWidth="1"/>
    <col min="15362" max="15362" width="19" style="814" customWidth="1"/>
    <col min="15363" max="15363" width="18.85546875" style="814" customWidth="1"/>
    <col min="15364" max="15364" width="19.140625" style="814" customWidth="1"/>
    <col min="15365" max="15365" width="18.5703125" style="814" customWidth="1"/>
    <col min="15366" max="15366" width="18.85546875" style="814" customWidth="1"/>
    <col min="15367" max="15367" width="18.7109375" style="814" customWidth="1"/>
    <col min="15368" max="15368" width="17.28515625" style="814" customWidth="1"/>
    <col min="15369" max="15369" width="16.42578125" style="814" customWidth="1"/>
    <col min="15370" max="15370" width="17" style="814" customWidth="1"/>
    <col min="15371" max="15371" width="16.42578125" style="814" customWidth="1"/>
    <col min="15372" max="15372" width="16.5703125" style="814" customWidth="1"/>
    <col min="15373" max="15373" width="16.85546875" style="814" customWidth="1"/>
    <col min="15374" max="15374" width="16.28515625" style="814" customWidth="1"/>
    <col min="15375" max="15375" width="17.7109375" style="814" customWidth="1"/>
    <col min="15376" max="15376" width="17.28515625" style="814" customWidth="1"/>
    <col min="15377" max="15377" width="15.5703125" style="814" customWidth="1"/>
    <col min="15378" max="15378" width="15.28515625" style="814" customWidth="1"/>
    <col min="15379" max="15379" width="8.5703125" style="814" customWidth="1"/>
    <col min="15380" max="15616" width="9.140625" style="814"/>
    <col min="15617" max="15617" width="104.28515625" style="814" customWidth="1"/>
    <col min="15618" max="15618" width="19" style="814" customWidth="1"/>
    <col min="15619" max="15619" width="18.85546875" style="814" customWidth="1"/>
    <col min="15620" max="15620" width="19.140625" style="814" customWidth="1"/>
    <col min="15621" max="15621" width="18.5703125" style="814" customWidth="1"/>
    <col min="15622" max="15622" width="18.85546875" style="814" customWidth="1"/>
    <col min="15623" max="15623" width="18.7109375" style="814" customWidth="1"/>
    <col min="15624" max="15624" width="17.28515625" style="814" customWidth="1"/>
    <col min="15625" max="15625" width="16.42578125" style="814" customWidth="1"/>
    <col min="15626" max="15626" width="17" style="814" customWidth="1"/>
    <col min="15627" max="15627" width="16.42578125" style="814" customWidth="1"/>
    <col min="15628" max="15628" width="16.5703125" style="814" customWidth="1"/>
    <col min="15629" max="15629" width="16.85546875" style="814" customWidth="1"/>
    <col min="15630" max="15630" width="16.28515625" style="814" customWidth="1"/>
    <col min="15631" max="15631" width="17.7109375" style="814" customWidth="1"/>
    <col min="15632" max="15632" width="17.28515625" style="814" customWidth="1"/>
    <col min="15633" max="15633" width="15.5703125" style="814" customWidth="1"/>
    <col min="15634" max="15634" width="15.28515625" style="814" customWidth="1"/>
    <col min="15635" max="15635" width="8.5703125" style="814" customWidth="1"/>
    <col min="15636" max="15872" width="9.140625" style="814"/>
    <col min="15873" max="15873" width="104.28515625" style="814" customWidth="1"/>
    <col min="15874" max="15874" width="19" style="814" customWidth="1"/>
    <col min="15875" max="15875" width="18.85546875" style="814" customWidth="1"/>
    <col min="15876" max="15876" width="19.140625" style="814" customWidth="1"/>
    <col min="15877" max="15877" width="18.5703125" style="814" customWidth="1"/>
    <col min="15878" max="15878" width="18.85546875" style="814" customWidth="1"/>
    <col min="15879" max="15879" width="18.7109375" style="814" customWidth="1"/>
    <col min="15880" max="15880" width="17.28515625" style="814" customWidth="1"/>
    <col min="15881" max="15881" width="16.42578125" style="814" customWidth="1"/>
    <col min="15882" max="15882" width="17" style="814" customWidth="1"/>
    <col min="15883" max="15883" width="16.42578125" style="814" customWidth="1"/>
    <col min="15884" max="15884" width="16.5703125" style="814" customWidth="1"/>
    <col min="15885" max="15885" width="16.85546875" style="814" customWidth="1"/>
    <col min="15886" max="15886" width="16.28515625" style="814" customWidth="1"/>
    <col min="15887" max="15887" width="17.7109375" style="814" customWidth="1"/>
    <col min="15888" max="15888" width="17.28515625" style="814" customWidth="1"/>
    <col min="15889" max="15889" width="15.5703125" style="814" customWidth="1"/>
    <col min="15890" max="15890" width="15.28515625" style="814" customWidth="1"/>
    <col min="15891" max="15891" width="8.5703125" style="814" customWidth="1"/>
    <col min="15892" max="16128" width="9.140625" style="814"/>
    <col min="16129" max="16129" width="104.28515625" style="814" customWidth="1"/>
    <col min="16130" max="16130" width="19" style="814" customWidth="1"/>
    <col min="16131" max="16131" width="18.85546875" style="814" customWidth="1"/>
    <col min="16132" max="16132" width="19.140625" style="814" customWidth="1"/>
    <col min="16133" max="16133" width="18.5703125" style="814" customWidth="1"/>
    <col min="16134" max="16134" width="18.85546875" style="814" customWidth="1"/>
    <col min="16135" max="16135" width="18.7109375" style="814" customWidth="1"/>
    <col min="16136" max="16136" width="17.28515625" style="814" customWidth="1"/>
    <col min="16137" max="16137" width="16.42578125" style="814" customWidth="1"/>
    <col min="16138" max="16138" width="17" style="814" customWidth="1"/>
    <col min="16139" max="16139" width="16.42578125" style="814" customWidth="1"/>
    <col min="16140" max="16140" width="16.5703125" style="814" customWidth="1"/>
    <col min="16141" max="16141" width="16.85546875" style="814" customWidth="1"/>
    <col min="16142" max="16142" width="16.28515625" style="814" customWidth="1"/>
    <col min="16143" max="16143" width="17.7109375" style="814" customWidth="1"/>
    <col min="16144" max="16144" width="17.28515625" style="814" customWidth="1"/>
    <col min="16145" max="16145" width="15.5703125" style="814" customWidth="1"/>
    <col min="16146" max="16146" width="15.28515625" style="814" customWidth="1"/>
    <col min="16147" max="16147" width="8.5703125" style="814" customWidth="1"/>
    <col min="16148" max="16384" width="9.140625" style="814"/>
  </cols>
  <sheetData>
    <row r="1" spans="1:19" s="794" customFormat="1" ht="12" customHeight="1" x14ac:dyDescent="0.25">
      <c r="A1" s="4478"/>
      <c r="B1" s="4478"/>
      <c r="C1" s="4478"/>
      <c r="D1" s="4478"/>
      <c r="E1" s="4478"/>
      <c r="F1" s="4478"/>
      <c r="G1" s="4478"/>
      <c r="H1" s="4478"/>
      <c r="I1" s="4478"/>
      <c r="J1" s="4478"/>
      <c r="K1" s="4478"/>
      <c r="L1" s="4478"/>
      <c r="M1" s="4478"/>
      <c r="N1" s="4478"/>
      <c r="O1" s="4478"/>
      <c r="P1" s="4478"/>
      <c r="Q1" s="4478"/>
      <c r="R1" s="4478"/>
    </row>
    <row r="2" spans="1:19" s="794" customFormat="1" ht="12" customHeight="1" x14ac:dyDescent="0.25">
      <c r="A2" s="4478"/>
      <c r="B2" s="4478"/>
      <c r="C2" s="4478"/>
      <c r="D2" s="4478"/>
      <c r="E2" s="4478"/>
      <c r="F2" s="4478"/>
      <c r="G2" s="4478"/>
      <c r="H2" s="4478"/>
      <c r="I2" s="4478"/>
      <c r="J2" s="4478"/>
      <c r="K2" s="4478"/>
      <c r="L2" s="4478"/>
      <c r="M2" s="4478"/>
      <c r="N2" s="4478"/>
      <c r="O2" s="4478"/>
      <c r="P2" s="4478"/>
      <c r="Q2" s="4478"/>
      <c r="R2" s="4478"/>
    </row>
    <row r="3" spans="1:19" s="794" customFormat="1" ht="12" customHeight="1" x14ac:dyDescent="0.25">
      <c r="A3" s="4478"/>
      <c r="B3" s="4478"/>
      <c r="C3" s="4478"/>
      <c r="D3" s="4478"/>
      <c r="E3" s="4478"/>
      <c r="F3" s="4478"/>
      <c r="G3" s="4478"/>
      <c r="H3" s="4478"/>
      <c r="I3" s="4478"/>
      <c r="J3" s="4478"/>
      <c r="K3" s="4478"/>
      <c r="L3" s="4478"/>
      <c r="M3" s="4478"/>
      <c r="N3" s="4478"/>
      <c r="O3" s="4478"/>
      <c r="P3" s="4478"/>
      <c r="Q3" s="4478"/>
      <c r="R3" s="4478"/>
    </row>
    <row r="4" spans="1:19" s="794" customFormat="1" ht="12" customHeight="1" x14ac:dyDescent="0.25">
      <c r="A4" s="4478"/>
      <c r="B4" s="4478"/>
      <c r="C4" s="4478"/>
      <c r="D4" s="4478"/>
      <c r="E4" s="4478"/>
      <c r="F4" s="4478"/>
      <c r="G4" s="4478"/>
      <c r="H4" s="4478"/>
      <c r="I4" s="4478"/>
      <c r="J4" s="4478"/>
      <c r="K4" s="4478"/>
      <c r="L4" s="4478"/>
      <c r="M4" s="4478"/>
      <c r="N4" s="4478"/>
      <c r="O4" s="4478"/>
      <c r="P4" s="4478"/>
      <c r="Q4" s="4478"/>
      <c r="R4" s="4478"/>
    </row>
    <row r="5" spans="1:19" s="794" customFormat="1" ht="12" customHeight="1" x14ac:dyDescent="0.25">
      <c r="A5" s="4478"/>
      <c r="B5" s="4478"/>
      <c r="C5" s="4478"/>
      <c r="D5" s="4478"/>
      <c r="E5" s="4478"/>
      <c r="F5" s="4478"/>
      <c r="G5" s="4478"/>
      <c r="H5" s="4478"/>
      <c r="I5" s="4478"/>
      <c r="J5" s="4478"/>
      <c r="K5" s="4478"/>
      <c r="L5" s="4478"/>
      <c r="M5" s="4478"/>
      <c r="N5" s="4478"/>
      <c r="O5" s="4478"/>
      <c r="P5" s="4478"/>
      <c r="Q5" s="4478"/>
      <c r="R5" s="4478"/>
    </row>
    <row r="6" spans="1:19" s="794" customFormat="1" ht="12" customHeight="1" x14ac:dyDescent="0.25">
      <c r="A6" s="4478"/>
      <c r="B6" s="4478"/>
      <c r="C6" s="4478"/>
      <c r="D6" s="4478"/>
      <c r="E6" s="4478"/>
      <c r="F6" s="4478"/>
      <c r="G6" s="4478"/>
      <c r="H6" s="4478"/>
      <c r="I6" s="4478"/>
      <c r="J6" s="4478"/>
      <c r="K6" s="4478"/>
      <c r="L6" s="4478"/>
      <c r="M6" s="4478"/>
      <c r="N6" s="4478"/>
      <c r="O6" s="4478"/>
      <c r="P6" s="4478"/>
      <c r="Q6" s="4478"/>
      <c r="R6" s="4478"/>
    </row>
    <row r="7" spans="1:19" s="794" customFormat="1" ht="12" customHeight="1" x14ac:dyDescent="0.25">
      <c r="A7" s="4478"/>
      <c r="B7" s="4478"/>
      <c r="C7" s="4478"/>
      <c r="D7" s="4478"/>
      <c r="E7" s="4478"/>
      <c r="F7" s="4478"/>
      <c r="G7" s="4478"/>
      <c r="H7" s="4478"/>
      <c r="I7" s="4478"/>
      <c r="J7" s="4478"/>
      <c r="K7" s="4478"/>
      <c r="L7" s="4478"/>
      <c r="M7" s="4478"/>
      <c r="N7" s="4478"/>
      <c r="O7" s="4478"/>
      <c r="P7" s="4478"/>
      <c r="Q7" s="4478"/>
      <c r="R7" s="4478"/>
    </row>
    <row r="8" spans="1:19" s="794" customFormat="1" ht="12" customHeight="1" x14ac:dyDescent="0.25">
      <c r="A8" s="4478"/>
      <c r="B8" s="4478"/>
      <c r="C8" s="4478"/>
      <c r="D8" s="4478"/>
      <c r="E8" s="4478"/>
      <c r="F8" s="4478"/>
      <c r="G8" s="4478"/>
      <c r="H8" s="4478"/>
      <c r="I8" s="4478"/>
      <c r="J8" s="4478"/>
      <c r="K8" s="4478"/>
      <c r="L8" s="4478"/>
      <c r="M8" s="4478"/>
      <c r="N8" s="4478"/>
      <c r="O8" s="4478"/>
      <c r="P8" s="4478"/>
      <c r="Q8" s="4478"/>
      <c r="R8" s="4478"/>
    </row>
    <row r="9" spans="1:19" s="794" customFormat="1" ht="12" customHeight="1" x14ac:dyDescent="0.25">
      <c r="A9" s="4478"/>
      <c r="B9" s="4478"/>
      <c r="C9" s="4478"/>
      <c r="D9" s="4478"/>
      <c r="E9" s="4478"/>
      <c r="F9" s="4478"/>
      <c r="G9" s="4478"/>
      <c r="H9" s="4478"/>
      <c r="I9" s="4478"/>
      <c r="J9" s="4478"/>
      <c r="K9" s="4478"/>
      <c r="L9" s="4478"/>
      <c r="M9" s="4478"/>
      <c r="N9" s="4478"/>
      <c r="O9" s="4478"/>
      <c r="P9" s="4478"/>
      <c r="Q9" s="4478"/>
      <c r="R9" s="4478"/>
    </row>
    <row r="10" spans="1:19" s="794" customFormat="1" ht="30.75" customHeight="1" thickBot="1" x14ac:dyDescent="0.3">
      <c r="A10" s="4479"/>
      <c r="B10" s="4479"/>
      <c r="C10" s="4479"/>
      <c r="D10" s="4479"/>
      <c r="E10" s="4479"/>
      <c r="F10" s="4479"/>
      <c r="G10" s="4479"/>
      <c r="H10" s="4479"/>
      <c r="I10" s="4479"/>
      <c r="J10" s="4479"/>
      <c r="K10" s="4479"/>
      <c r="L10" s="4479"/>
      <c r="M10" s="4479"/>
      <c r="N10" s="4479"/>
      <c r="O10" s="4479"/>
      <c r="P10" s="4479"/>
      <c r="Q10" s="4479"/>
      <c r="R10" s="4479"/>
    </row>
    <row r="11" spans="1:19" s="794" customFormat="1" ht="18.75" customHeight="1" x14ac:dyDescent="0.25">
      <c r="S11" s="954"/>
    </row>
    <row r="12" spans="1:19" s="794" customFormat="1" ht="26.25" customHeight="1" x14ac:dyDescent="0.25">
      <c r="A12" s="4536" t="s">
        <v>2818</v>
      </c>
      <c r="B12" s="4536"/>
      <c r="C12" s="4536"/>
      <c r="D12" s="4536"/>
      <c r="E12" s="4536"/>
      <c r="F12" s="4536"/>
      <c r="G12" s="4536"/>
      <c r="H12" s="4536"/>
      <c r="I12" s="4536"/>
      <c r="J12" s="4536"/>
      <c r="K12" s="4536"/>
      <c r="L12" s="4536"/>
      <c r="M12" s="4536"/>
      <c r="N12" s="4536"/>
      <c r="O12" s="4536"/>
      <c r="P12" s="4536"/>
      <c r="Q12" s="4536"/>
      <c r="R12" s="4536"/>
      <c r="S12" s="954"/>
    </row>
    <row r="13" spans="1:19" s="794" customFormat="1" ht="21.75" customHeight="1" x14ac:dyDescent="0.4">
      <c r="A13" s="1834"/>
      <c r="B13" s="1834"/>
      <c r="C13" s="1834"/>
      <c r="D13" s="1834"/>
      <c r="E13" s="1834"/>
      <c r="F13" s="1834"/>
      <c r="G13" s="1834"/>
      <c r="H13" s="1834"/>
      <c r="I13" s="1834"/>
      <c r="J13" s="1834"/>
      <c r="K13" s="1834"/>
      <c r="L13" s="1834"/>
      <c r="M13" s="1834"/>
      <c r="N13" s="1816" t="s">
        <v>1</v>
      </c>
      <c r="O13" s="1816"/>
      <c r="P13" s="798"/>
      <c r="Q13" s="4481">
        <v>42622</v>
      </c>
      <c r="R13" s="4481"/>
      <c r="S13" s="954"/>
    </row>
    <row r="14" spans="1:19" s="794" customFormat="1" ht="17.25" customHeight="1" x14ac:dyDescent="0.25">
      <c r="A14" s="4490" t="s">
        <v>1359</v>
      </c>
      <c r="B14" s="4537"/>
      <c r="C14" s="4537"/>
      <c r="D14" s="4537"/>
      <c r="E14" s="4537"/>
      <c r="F14" s="4537"/>
      <c r="G14" s="4537"/>
      <c r="H14" s="4537"/>
      <c r="I14" s="4537"/>
      <c r="J14" s="4537"/>
      <c r="K14" s="4537"/>
      <c r="L14" s="4537"/>
      <c r="M14" s="4537"/>
      <c r="N14" s="4537"/>
      <c r="O14" s="4537"/>
      <c r="P14" s="4537"/>
      <c r="Q14" s="4537"/>
      <c r="R14" s="4491"/>
      <c r="S14" s="797"/>
    </row>
    <row r="15" spans="1:19" s="794" customFormat="1" ht="17.25" customHeight="1" x14ac:dyDescent="0.25">
      <c r="A15" s="799" t="s">
        <v>399</v>
      </c>
      <c r="B15" s="800" t="s">
        <v>1360</v>
      </c>
      <c r="C15" s="800" t="s">
        <v>1361</v>
      </c>
      <c r="D15" s="800" t="s">
        <v>1362</v>
      </c>
      <c r="E15" s="800" t="s">
        <v>1363</v>
      </c>
      <c r="F15" s="800" t="s">
        <v>1364</v>
      </c>
      <c r="G15" s="800" t="s">
        <v>1365</v>
      </c>
      <c r="H15" s="800" t="s">
        <v>1366</v>
      </c>
      <c r="I15" s="4489" t="s">
        <v>1367</v>
      </c>
      <c r="J15" s="4489"/>
      <c r="K15" s="4489" t="s">
        <v>1368</v>
      </c>
      <c r="L15" s="4489"/>
      <c r="M15" s="4489" t="s">
        <v>1369</v>
      </c>
      <c r="N15" s="4489"/>
      <c r="O15" s="4489" t="s">
        <v>1370</v>
      </c>
      <c r="P15" s="4489"/>
      <c r="Q15" s="4489" t="s">
        <v>1371</v>
      </c>
      <c r="R15" s="4489"/>
      <c r="S15" s="797"/>
    </row>
    <row r="16" spans="1:19" s="794" customFormat="1" ht="17.25" customHeight="1" x14ac:dyDescent="0.25">
      <c r="A16" s="799" t="s">
        <v>1282</v>
      </c>
      <c r="B16" s="1782" t="s">
        <v>1283</v>
      </c>
      <c r="C16" s="1782" t="s">
        <v>1372</v>
      </c>
      <c r="D16" s="1782" t="s">
        <v>1373</v>
      </c>
      <c r="E16" s="1782" t="s">
        <v>1286</v>
      </c>
      <c r="F16" s="1782" t="s">
        <v>1287</v>
      </c>
      <c r="G16" s="1782" t="s">
        <v>1288</v>
      </c>
      <c r="H16" s="1782" t="s">
        <v>1289</v>
      </c>
      <c r="I16" s="4487" t="s">
        <v>1290</v>
      </c>
      <c r="J16" s="4487"/>
      <c r="K16" s="4487" t="s">
        <v>1291</v>
      </c>
      <c r="L16" s="4487"/>
      <c r="M16" s="4487" t="s">
        <v>1292</v>
      </c>
      <c r="N16" s="4487"/>
      <c r="O16" s="4487" t="s">
        <v>1293</v>
      </c>
      <c r="P16" s="4487"/>
      <c r="Q16" s="4487" t="s">
        <v>1294</v>
      </c>
      <c r="R16" s="4487"/>
      <c r="S16" s="797"/>
    </row>
    <row r="17" spans="1:19" s="794" customFormat="1" ht="17.25" customHeight="1" x14ac:dyDescent="0.25">
      <c r="A17" s="4538" t="s">
        <v>1374</v>
      </c>
      <c r="B17" s="4498"/>
      <c r="C17" s="4498"/>
      <c r="D17" s="4498"/>
      <c r="E17" s="4498"/>
      <c r="F17" s="4498"/>
      <c r="G17" s="4498"/>
      <c r="H17" s="4498"/>
      <c r="I17" s="4498"/>
      <c r="J17" s="4498"/>
      <c r="K17" s="4498"/>
      <c r="L17" s="4498"/>
      <c r="M17" s="4498"/>
      <c r="N17" s="4498"/>
      <c r="O17" s="4498"/>
      <c r="P17" s="4498"/>
      <c r="Q17" s="4498"/>
      <c r="R17" s="4499"/>
      <c r="S17" s="797"/>
    </row>
    <row r="18" spans="1:19" s="794" customFormat="1" ht="17.25" customHeight="1" x14ac:dyDescent="0.25">
      <c r="A18" s="801" t="s">
        <v>2679</v>
      </c>
      <c r="B18" s="802" t="str">
        <f>ROUND(10500*(1-E85),2)&amp;"*"</f>
        <v>10500*</v>
      </c>
      <c r="C18" s="802" t="str">
        <f>ROUND(12000*(1-E85),2)&amp;"*"</f>
        <v>12000*</v>
      </c>
      <c r="D18" s="802" t="str">
        <f>ROUND(12300*(1-E85),2)&amp;"*"</f>
        <v>12300*</v>
      </c>
      <c r="E18" s="802" t="str">
        <f>ROUND(13500*(1-E85),2)&amp;"*"</f>
        <v>13500*</v>
      </c>
      <c r="F18" s="802" t="str">
        <f>ROUND(13500*(1-E85),2)&amp;"*"</f>
        <v>13500*</v>
      </c>
      <c r="G18" s="802" t="str">
        <f>ROUND(14250*(1-E85),2)&amp;"*"</f>
        <v>14250*</v>
      </c>
      <c r="H18" s="802" t="str">
        <f>ROUND(15800*(1-E85),2)&amp;"*"</f>
        <v>15800*</v>
      </c>
      <c r="I18" s="4485">
        <f>ROUND(18200*(1-E85),2)</f>
        <v>18200</v>
      </c>
      <c r="J18" s="4485"/>
      <c r="K18" s="4486">
        <f>ROUND(17300*(1-E85),2)</f>
        <v>17300</v>
      </c>
      <c r="L18" s="4486"/>
      <c r="M18" s="4485">
        <f>ROUND(18600*(1-E85),2)</f>
        <v>18600</v>
      </c>
      <c r="N18" s="4485"/>
      <c r="O18" s="4485">
        <f>ROUND(19000*(1-E85),2)</f>
        <v>19000</v>
      </c>
      <c r="P18" s="4485"/>
      <c r="Q18" s="4485">
        <f>ROUND(20500*(1-E85),2)</f>
        <v>20500</v>
      </c>
      <c r="R18" s="4485"/>
      <c r="S18" s="797"/>
    </row>
    <row r="19" spans="1:19" s="794" customFormat="1" ht="17.25" customHeight="1" x14ac:dyDescent="0.25">
      <c r="A19" s="801" t="s">
        <v>2680</v>
      </c>
      <c r="B19" s="802">
        <f>ROUND(16350*(1-B85),2)</f>
        <v>16350</v>
      </c>
      <c r="C19" s="802">
        <f>ROUND(18100*(1-B85),2)</f>
        <v>18100</v>
      </c>
      <c r="D19" s="802">
        <f>ROUND(19200*(1-B85),2)</f>
        <v>19200</v>
      </c>
      <c r="E19" s="802">
        <f>ROUND(21100*(1-B85),2)</f>
        <v>21100</v>
      </c>
      <c r="F19" s="802" t="str">
        <f>ROUND(21100*(1-B85),2)&amp;"*"</f>
        <v>21100*</v>
      </c>
      <c r="G19" s="802" t="str">
        <f>ROUND(22900*(1-B85),2)&amp;"*"</f>
        <v>22900*</v>
      </c>
      <c r="H19" s="802" t="str">
        <f>ROUND(24700*(1-B85),2)&amp;"*"</f>
        <v>24700*</v>
      </c>
      <c r="I19" s="4485" t="str">
        <f>ROUND(28400*(1-B85),2)&amp;"*"</f>
        <v>28400*</v>
      </c>
      <c r="J19" s="4485"/>
      <c r="K19" s="4485">
        <f>ROUND(27000*(1-B85),2)</f>
        <v>27000</v>
      </c>
      <c r="L19" s="4485"/>
      <c r="M19" s="4485" t="str">
        <f>ROUND(29100*(1-B85),2)&amp;"*"</f>
        <v>29100*</v>
      </c>
      <c r="N19" s="4485"/>
      <c r="O19" s="4485">
        <f>ROUND(29800*(1-B85),2)</f>
        <v>29800</v>
      </c>
      <c r="P19" s="4485"/>
      <c r="Q19" s="4485">
        <f>ROUND(32100*(1-B85),2)</f>
        <v>32100</v>
      </c>
      <c r="R19" s="4485"/>
      <c r="S19" s="797"/>
    </row>
    <row r="20" spans="1:19" s="794" customFormat="1" ht="17.25" customHeight="1" x14ac:dyDescent="0.25">
      <c r="A20" s="4538" t="s">
        <v>1375</v>
      </c>
      <c r="B20" s="4498"/>
      <c r="C20" s="4498"/>
      <c r="D20" s="4498"/>
      <c r="E20" s="4498"/>
      <c r="F20" s="4498"/>
      <c r="G20" s="4498"/>
      <c r="H20" s="4498"/>
      <c r="I20" s="4498"/>
      <c r="J20" s="4498"/>
      <c r="K20" s="4498"/>
      <c r="L20" s="4498"/>
      <c r="M20" s="4498"/>
      <c r="N20" s="4498"/>
      <c r="O20" s="4498"/>
      <c r="P20" s="4498"/>
      <c r="Q20" s="4498"/>
      <c r="R20" s="4499"/>
      <c r="S20" s="797"/>
    </row>
    <row r="21" spans="1:19" s="794" customFormat="1" ht="17.25" customHeight="1" x14ac:dyDescent="0.25">
      <c r="A21" s="803" t="s">
        <v>2681</v>
      </c>
      <c r="B21" s="802" t="s">
        <v>87</v>
      </c>
      <c r="C21" s="802" t="s">
        <v>87</v>
      </c>
      <c r="D21" s="802" t="s">
        <v>87</v>
      </c>
      <c r="E21" s="802" t="str">
        <f>ROUND(13500*(1-E70),2)&amp;"*"</f>
        <v>13500*</v>
      </c>
      <c r="F21" s="802" t="str">
        <f>ROUND(13500*(1-E70),2)&amp;"*"</f>
        <v>13500*</v>
      </c>
      <c r="G21" s="802" t="str">
        <f>ROUND(14250*(1-E70),2)&amp;"*"</f>
        <v>14250*</v>
      </c>
      <c r="H21" s="802" t="str">
        <f>ROUND(15800*(1-E70),2)&amp;"*"</f>
        <v>15800*</v>
      </c>
      <c r="I21" s="4485">
        <f>ROUND(18200*(1-E70),2)</f>
        <v>18200</v>
      </c>
      <c r="J21" s="4485"/>
      <c r="K21" s="4486" t="s">
        <v>87</v>
      </c>
      <c r="L21" s="4486"/>
      <c r="M21" s="4485">
        <f>ROUND(18600*(1-E70),2)</f>
        <v>18600</v>
      </c>
      <c r="N21" s="4485"/>
      <c r="O21" s="4486" t="s">
        <v>87</v>
      </c>
      <c r="P21" s="4486"/>
      <c r="Q21" s="4486" t="s">
        <v>87</v>
      </c>
      <c r="R21" s="4486"/>
      <c r="S21" s="797"/>
    </row>
    <row r="22" spans="1:19" s="794" customFormat="1" ht="17.25" customHeight="1" x14ac:dyDescent="0.25">
      <c r="A22" s="803" t="s">
        <v>2682</v>
      </c>
      <c r="B22" s="802" t="s">
        <v>87</v>
      </c>
      <c r="C22" s="802" t="s">
        <v>87</v>
      </c>
      <c r="D22" s="802" t="s">
        <v>87</v>
      </c>
      <c r="E22" s="802">
        <f>ROUND(16400*(1-E70),2)</f>
        <v>16400</v>
      </c>
      <c r="F22" s="802">
        <f>ROUND(16400*(1-E70),2)</f>
        <v>16400</v>
      </c>
      <c r="G22" s="802">
        <f>ROUND(17900*(1-E70),2)</f>
        <v>17900</v>
      </c>
      <c r="H22" s="802">
        <f>ROUND(19300*(1-E70),2)</f>
        <v>19300</v>
      </c>
      <c r="I22" s="4485" t="s">
        <v>87</v>
      </c>
      <c r="J22" s="4485"/>
      <c r="K22" s="4486" t="s">
        <v>87</v>
      </c>
      <c r="L22" s="4486"/>
      <c r="M22" s="4485">
        <f>ROUND(22700*(1-E70),2)</f>
        <v>22700</v>
      </c>
      <c r="N22" s="4485"/>
      <c r="O22" s="4486" t="s">
        <v>87</v>
      </c>
      <c r="P22" s="4486"/>
      <c r="Q22" s="4486" t="s">
        <v>87</v>
      </c>
      <c r="R22" s="4486"/>
      <c r="S22" s="797"/>
    </row>
    <row r="23" spans="1:19" s="794" customFormat="1" ht="17.25" customHeight="1" x14ac:dyDescent="0.25">
      <c r="A23" s="801" t="s">
        <v>2683</v>
      </c>
      <c r="B23" s="4485" t="s">
        <v>87</v>
      </c>
      <c r="C23" s="4485"/>
      <c r="D23" s="4485"/>
      <c r="E23" s="4485"/>
      <c r="F23" s="4485"/>
      <c r="G23" s="802">
        <f>ROUND(34800*(1-B70),2)</f>
        <v>34800</v>
      </c>
      <c r="H23" s="4485" t="s">
        <v>17</v>
      </c>
      <c r="I23" s="4485"/>
      <c r="J23" s="4485"/>
      <c r="K23" s="4485"/>
      <c r="L23" s="4485"/>
      <c r="M23" s="4485"/>
      <c r="N23" s="4485"/>
      <c r="O23" s="4485"/>
      <c r="P23" s="4485"/>
      <c r="Q23" s="4485"/>
      <c r="R23" s="4485"/>
      <c r="S23" s="797"/>
    </row>
    <row r="24" spans="1:19" s="794" customFormat="1" ht="17.25" customHeight="1" x14ac:dyDescent="0.25">
      <c r="A24" s="4539" t="s">
        <v>1376</v>
      </c>
      <c r="B24" s="4539"/>
      <c r="C24" s="4539"/>
      <c r="D24" s="4539"/>
      <c r="E24" s="4539"/>
      <c r="F24" s="4539"/>
      <c r="G24" s="4539"/>
      <c r="H24" s="4539"/>
      <c r="I24" s="4539"/>
      <c r="J24" s="4539"/>
      <c r="K24" s="4539"/>
      <c r="L24" s="4539"/>
      <c r="M24" s="4539"/>
      <c r="N24" s="4539"/>
      <c r="O24" s="4539"/>
      <c r="P24" s="4539"/>
      <c r="Q24" s="4539"/>
      <c r="R24" s="4539"/>
      <c r="S24" s="797"/>
    </row>
    <row r="25" spans="1:19" s="794" customFormat="1" ht="17.25" customHeight="1" x14ac:dyDescent="0.25">
      <c r="A25" s="4540" t="s">
        <v>1377</v>
      </c>
      <c r="B25" s="4540"/>
      <c r="C25" s="4540"/>
      <c r="D25" s="4540"/>
      <c r="E25" s="4540"/>
      <c r="F25" s="4540"/>
      <c r="G25" s="4540"/>
      <c r="H25" s="4540"/>
      <c r="I25" s="4540"/>
      <c r="J25" s="4540"/>
      <c r="K25" s="4540"/>
      <c r="L25" s="4540"/>
      <c r="M25" s="4540"/>
      <c r="N25" s="4540"/>
      <c r="O25" s="4540"/>
      <c r="P25" s="4540"/>
      <c r="Q25" s="4540"/>
      <c r="R25" s="4540"/>
      <c r="S25" s="797"/>
    </row>
    <row r="26" spans="1:19" s="794" customFormat="1" ht="17.25" customHeight="1" x14ac:dyDescent="0.25">
      <c r="A26" s="801" t="s">
        <v>1378</v>
      </c>
      <c r="B26" s="1787">
        <f>ROUND(4500*(1-B85),2)</f>
        <v>4500</v>
      </c>
      <c r="C26" s="1787">
        <f>ROUND(4900*(1-B85),2)</f>
        <v>4900</v>
      </c>
      <c r="D26" s="1787">
        <f>ROUND(5000*(1-B85),2)</f>
        <v>5000</v>
      </c>
      <c r="E26" s="1787">
        <f>ROUND(5700*(1-B85),2)</f>
        <v>5700</v>
      </c>
      <c r="F26" s="1787">
        <f>ROUND(5900*(1-B85),2)</f>
        <v>5900</v>
      </c>
      <c r="G26" s="1787">
        <f>ROUND(6350*(1-B85),2)</f>
        <v>6350</v>
      </c>
      <c r="H26" s="1787">
        <f>ROUND(6750*(1-B85),2)</f>
        <v>6750</v>
      </c>
      <c r="I26" s="4511">
        <f>ROUND(8050*(1-B85),2)</f>
        <v>8050</v>
      </c>
      <c r="J26" s="4511"/>
      <c r="K26" s="4494">
        <f>ROUND(7500*(1-B85),2)</f>
        <v>7500</v>
      </c>
      <c r="L26" s="4495"/>
      <c r="M26" s="4488">
        <f>ROUND(8250*(1-B85),2)</f>
        <v>8250</v>
      </c>
      <c r="N26" s="4488"/>
      <c r="O26" s="4488">
        <f>ROUND(8250*(1-B85),2)</f>
        <v>8250</v>
      </c>
      <c r="P26" s="4488"/>
      <c r="Q26" s="4488">
        <f>ROUND(8900*(1-B85),2)</f>
        <v>8900</v>
      </c>
      <c r="R26" s="4488"/>
      <c r="S26" s="797"/>
    </row>
    <row r="27" spans="1:19" s="794" customFormat="1" ht="17.25" customHeight="1" x14ac:dyDescent="0.25">
      <c r="A27" s="804" t="s">
        <v>1379</v>
      </c>
      <c r="B27" s="1787">
        <f>ROUND(4500*(1-B85),2)</f>
        <v>4500</v>
      </c>
      <c r="C27" s="1787">
        <f>ROUND(4900*(1-B85),2)</f>
        <v>4900</v>
      </c>
      <c r="D27" s="1787">
        <f>ROUND(5000*(1-B85),2)</f>
        <v>5000</v>
      </c>
      <c r="E27" s="1787">
        <f>ROUND(5700*(1-B85),2)</f>
        <v>5700</v>
      </c>
      <c r="F27" s="1787">
        <f>ROUND(5900*(1-B85),2)</f>
        <v>5900</v>
      </c>
      <c r="G27" s="1787">
        <f>ROUND(6350*(1-B85),2)</f>
        <v>6350</v>
      </c>
      <c r="H27" s="1787">
        <f>ROUND(6750*(1-B85),2)</f>
        <v>6750</v>
      </c>
      <c r="I27" s="4511">
        <f>ROUND(8050*(1-B85),2)</f>
        <v>8050</v>
      </c>
      <c r="J27" s="4511"/>
      <c r="K27" s="4494">
        <f>ROUND(7500*(1-B85),2)</f>
        <v>7500</v>
      </c>
      <c r="L27" s="4495"/>
      <c r="M27" s="4488">
        <f>ROUND(8250*(1-B85),2)</f>
        <v>8250</v>
      </c>
      <c r="N27" s="4488"/>
      <c r="O27" s="4488">
        <f>ROUND(8250*(1-B85),2)</f>
        <v>8250</v>
      </c>
      <c r="P27" s="4488"/>
      <c r="Q27" s="4488">
        <f>ROUND(8900*(1-B85),2)</f>
        <v>8900</v>
      </c>
      <c r="R27" s="4488"/>
      <c r="S27" s="797"/>
    </row>
    <row r="28" spans="1:19" s="794" customFormat="1" ht="17.25" customHeight="1" x14ac:dyDescent="0.25">
      <c r="A28" s="803" t="s">
        <v>1380</v>
      </c>
      <c r="B28" s="1787">
        <f>ROUND(2950*(1-E85),2)</f>
        <v>2950</v>
      </c>
      <c r="C28" s="1787">
        <f>ROUND(3750*(1-E85),2)</f>
        <v>3750</v>
      </c>
      <c r="D28" s="1787">
        <f>ROUND(3850*(1-E85),2)</f>
        <v>3850</v>
      </c>
      <c r="E28" s="1787">
        <f>ROUND(4350*(1-E85),2)</f>
        <v>4350</v>
      </c>
      <c r="F28" s="1785">
        <f>ROUND(4250*(1-E85),2)</f>
        <v>4250</v>
      </c>
      <c r="G28" s="1787">
        <f>ROUND(4850*(1-E85),2)</f>
        <v>4850</v>
      </c>
      <c r="H28" s="1787">
        <f>ROUND(5150*(1-E85),2)</f>
        <v>5150</v>
      </c>
      <c r="I28" s="4511">
        <f>ROUND(6150*(1-E85),2)</f>
        <v>6150</v>
      </c>
      <c r="J28" s="4511"/>
      <c r="K28" s="4500">
        <f>ROUND(5700*(1-E85),2)</f>
        <v>5700</v>
      </c>
      <c r="L28" s="4501"/>
      <c r="M28" s="4488">
        <f>ROUND(6300*(1-E85),2)</f>
        <v>6300</v>
      </c>
      <c r="N28" s="4488"/>
      <c r="O28" s="4511">
        <f>ROUND(6550*(1-E85),2)</f>
        <v>6550</v>
      </c>
      <c r="P28" s="4511"/>
      <c r="Q28" s="4488">
        <f>ROUND(6900*(1-E85),2)</f>
        <v>6900</v>
      </c>
      <c r="R28" s="4488"/>
      <c r="S28" s="797"/>
    </row>
    <row r="29" spans="1:19" s="794" customFormat="1" ht="9.75" customHeight="1" thickBot="1" x14ac:dyDescent="0.3">
      <c r="A29" s="1825"/>
      <c r="B29" s="1835"/>
      <c r="C29" s="1835"/>
      <c r="D29" s="1835"/>
      <c r="E29" s="1835"/>
      <c r="F29" s="1826"/>
      <c r="G29" s="1835"/>
      <c r="H29" s="1835"/>
      <c r="I29" s="1826"/>
      <c r="J29" s="1836"/>
      <c r="K29" s="1835"/>
      <c r="L29" s="1826"/>
      <c r="M29" s="1835"/>
      <c r="N29" s="1816"/>
      <c r="O29" s="1816"/>
      <c r="P29" s="798"/>
      <c r="Q29" s="1833"/>
      <c r="R29" s="1833"/>
      <c r="S29" s="797"/>
    </row>
    <row r="30" spans="1:19" s="794" customFormat="1" ht="27.75" x14ac:dyDescent="0.4">
      <c r="A30" s="4480" t="s">
        <v>2684</v>
      </c>
      <c r="B30" s="4480"/>
      <c r="C30" s="4480"/>
      <c r="D30" s="4480"/>
      <c r="E30" s="4480"/>
      <c r="F30" s="4480"/>
      <c r="G30" s="4480"/>
      <c r="H30" s="4480"/>
      <c r="I30" s="4480"/>
      <c r="J30" s="4480"/>
      <c r="K30" s="4480"/>
      <c r="L30" s="4480"/>
      <c r="M30" s="4480"/>
      <c r="N30" s="4480"/>
      <c r="O30" s="4480"/>
      <c r="P30" s="4480"/>
      <c r="Q30" s="4480"/>
      <c r="R30" s="4480"/>
      <c r="S30" s="797"/>
    </row>
    <row r="31" spans="1:19" s="794" customFormat="1" ht="20.25" x14ac:dyDescent="0.25">
      <c r="A31" s="1825"/>
      <c r="B31" s="1835"/>
      <c r="C31" s="1835"/>
      <c r="D31" s="1835"/>
      <c r="E31" s="1835"/>
      <c r="F31" s="1826"/>
      <c r="G31" s="1835"/>
      <c r="H31" s="1835"/>
      <c r="I31" s="1826"/>
      <c r="J31" s="1836"/>
      <c r="K31" s="1835"/>
      <c r="L31" s="1826"/>
      <c r="M31" s="1835"/>
      <c r="N31" s="1816" t="s">
        <v>1</v>
      </c>
      <c r="O31" s="1816"/>
      <c r="P31" s="798"/>
      <c r="Q31" s="4481">
        <v>42430</v>
      </c>
      <c r="R31" s="4481"/>
      <c r="S31" s="797"/>
    </row>
    <row r="32" spans="1:19" s="794" customFormat="1" ht="26.25" x14ac:dyDescent="0.25">
      <c r="A32" s="4482" t="s">
        <v>2685</v>
      </c>
      <c r="B32" s="4482"/>
      <c r="C32" s="4482"/>
      <c r="D32" s="4482"/>
      <c r="E32" s="4482"/>
      <c r="F32" s="4482"/>
      <c r="G32" s="4482"/>
      <c r="H32" s="4482"/>
      <c r="I32" s="4482"/>
      <c r="J32" s="4482"/>
      <c r="K32" s="4482"/>
      <c r="L32" s="4482"/>
      <c r="M32" s="4482"/>
      <c r="N32" s="4482"/>
      <c r="O32" s="4482"/>
      <c r="P32" s="4482"/>
      <c r="Q32" s="4482"/>
      <c r="R32" s="4482"/>
    </row>
    <row r="33" spans="1:18" s="794" customFormat="1" ht="20.25" x14ac:dyDescent="0.25">
      <c r="A33" s="799" t="s">
        <v>399</v>
      </c>
      <c r="B33" s="800" t="s">
        <v>2686</v>
      </c>
      <c r="C33" s="800" t="s">
        <v>2687</v>
      </c>
      <c r="D33" s="800" t="s">
        <v>2688</v>
      </c>
      <c r="E33" s="800" t="s">
        <v>2689</v>
      </c>
      <c r="F33" s="800" t="s">
        <v>2690</v>
      </c>
      <c r="G33" s="800" t="s">
        <v>2691</v>
      </c>
      <c r="H33" s="800" t="s">
        <v>2692</v>
      </c>
      <c r="I33" s="4483" t="s">
        <v>2693</v>
      </c>
      <c r="J33" s="4484"/>
      <c r="K33" s="4483" t="s">
        <v>2694</v>
      </c>
      <c r="L33" s="4484"/>
      <c r="M33" s="4483" t="s">
        <v>2695</v>
      </c>
      <c r="N33" s="4484"/>
      <c r="O33" s="4483" t="s">
        <v>2696</v>
      </c>
      <c r="P33" s="4484"/>
      <c r="Q33" s="4483" t="s">
        <v>2697</v>
      </c>
      <c r="R33" s="4484"/>
    </row>
    <row r="34" spans="1:18" s="794" customFormat="1" ht="20.25" x14ac:dyDescent="0.25">
      <c r="A34" s="799" t="s">
        <v>1282</v>
      </c>
      <c r="B34" s="1782" t="s">
        <v>1283</v>
      </c>
      <c r="C34" s="1782" t="s">
        <v>1372</v>
      </c>
      <c r="D34" s="1782" t="s">
        <v>1373</v>
      </c>
      <c r="E34" s="1782" t="s">
        <v>1286</v>
      </c>
      <c r="F34" s="1782" t="s">
        <v>1287</v>
      </c>
      <c r="G34" s="1782" t="s">
        <v>1288</v>
      </c>
      <c r="H34" s="1782" t="s">
        <v>1289</v>
      </c>
      <c r="I34" s="4490" t="s">
        <v>1290</v>
      </c>
      <c r="J34" s="4491"/>
      <c r="K34" s="4490" t="s">
        <v>1291</v>
      </c>
      <c r="L34" s="4491"/>
      <c r="M34" s="4490" t="s">
        <v>1292</v>
      </c>
      <c r="N34" s="4491"/>
      <c r="O34" s="4490" t="s">
        <v>1293</v>
      </c>
      <c r="P34" s="4491"/>
      <c r="Q34" s="4490" t="s">
        <v>1294</v>
      </c>
      <c r="R34" s="4491"/>
    </row>
    <row r="35" spans="1:18" s="794" customFormat="1" ht="20.25" x14ac:dyDescent="0.25">
      <c r="A35" s="1817" t="s">
        <v>2698</v>
      </c>
      <c r="B35" s="1782">
        <v>0.22</v>
      </c>
      <c r="C35" s="1782">
        <v>0.28999999999999998</v>
      </c>
      <c r="D35" s="1782">
        <v>0.38</v>
      </c>
      <c r="E35" s="1782">
        <v>0.48</v>
      </c>
      <c r="F35" s="1782">
        <v>0.47</v>
      </c>
      <c r="G35" s="1782">
        <v>0.59</v>
      </c>
      <c r="H35" s="1818">
        <v>0.73</v>
      </c>
      <c r="I35" s="4490">
        <v>0.85</v>
      </c>
      <c r="J35" s="4491"/>
      <c r="K35" s="4490">
        <v>0.75</v>
      </c>
      <c r="L35" s="4491"/>
      <c r="M35" s="4490">
        <v>0.92</v>
      </c>
      <c r="N35" s="4491"/>
      <c r="O35" s="4490">
        <v>0.95</v>
      </c>
      <c r="P35" s="4491"/>
      <c r="Q35" s="4490">
        <v>1.1599999999999999</v>
      </c>
      <c r="R35" s="4491"/>
    </row>
    <row r="36" spans="1:18" s="794" customFormat="1" ht="20.25" x14ac:dyDescent="0.25">
      <c r="A36" s="1783" t="s">
        <v>2699</v>
      </c>
      <c r="B36" s="4498"/>
      <c r="C36" s="4498"/>
      <c r="D36" s="4498"/>
      <c r="E36" s="4498"/>
      <c r="F36" s="4498"/>
      <c r="G36" s="4498"/>
      <c r="H36" s="4498"/>
      <c r="I36" s="4498"/>
      <c r="J36" s="4498"/>
      <c r="K36" s="4498"/>
      <c r="L36" s="4498"/>
      <c r="M36" s="4498"/>
      <c r="N36" s="4498"/>
      <c r="O36" s="4498"/>
      <c r="P36" s="4498"/>
      <c r="Q36" s="4498"/>
      <c r="R36" s="4499"/>
    </row>
    <row r="37" spans="1:18" s="794" customFormat="1" ht="20.25" x14ac:dyDescent="0.25">
      <c r="A37" s="1819" t="s">
        <v>2700</v>
      </c>
      <c r="B37" s="1787">
        <f>ROUND(11750*(1-B85),2)</f>
        <v>11750</v>
      </c>
      <c r="C37" s="1787">
        <f>ROUND(13450*(1-B85),2)</f>
        <v>13450</v>
      </c>
      <c r="D37" s="1787">
        <f>ROUND(14250*(1-B85),2)</f>
        <v>14250</v>
      </c>
      <c r="E37" s="1787">
        <f>ROUND(14900*(1-B85),2)</f>
        <v>14900</v>
      </c>
      <c r="F37" s="1785">
        <f>ROUND(14900*(1-B85),2)</f>
        <v>14900</v>
      </c>
      <c r="G37" s="1787">
        <f>ROUND(15850*(1-B85),2)</f>
        <v>15850</v>
      </c>
      <c r="H37" s="1787">
        <f>ROUND(17450*(1-B85),2)</f>
        <v>17450</v>
      </c>
      <c r="I37" s="4492" t="s">
        <v>17</v>
      </c>
      <c r="J37" s="4493"/>
      <c r="K37" s="4494">
        <f>ROUND(18550*(1-B85),2)</f>
        <v>18550</v>
      </c>
      <c r="L37" s="4495"/>
      <c r="M37" s="4496" t="s">
        <v>17</v>
      </c>
      <c r="N37" s="4497"/>
      <c r="O37" s="4496">
        <f>ROUND(19500*(1-B85),2)</f>
        <v>19500</v>
      </c>
      <c r="P37" s="4497"/>
      <c r="Q37" s="4496" t="s">
        <v>17</v>
      </c>
      <c r="R37" s="4497"/>
    </row>
    <row r="38" spans="1:18" s="794" customFormat="1" ht="20.25" x14ac:dyDescent="0.25">
      <c r="A38" s="801" t="s">
        <v>2701</v>
      </c>
      <c r="B38" s="1787">
        <f>ROUND(11750*(1-B85),2)</f>
        <v>11750</v>
      </c>
      <c r="C38" s="1787">
        <f>ROUND(13450*(1-B85),2)</f>
        <v>13450</v>
      </c>
      <c r="D38" s="1787">
        <f>ROUND(14250*(1-B85),2)</f>
        <v>14250</v>
      </c>
      <c r="E38" s="1787">
        <f>ROUND(14900*(1-B85),2)</f>
        <v>14900</v>
      </c>
      <c r="F38" s="1787">
        <f>ROUND(14900*(1-B85),2)</f>
        <v>14900</v>
      </c>
      <c r="G38" s="1787">
        <f>ROUND(15850*(1-B85),2)</f>
        <v>15850</v>
      </c>
      <c r="H38" s="1787">
        <f>ROUND(17450*(1-B85),2)</f>
        <v>17450</v>
      </c>
      <c r="I38" s="4492" t="s">
        <v>17</v>
      </c>
      <c r="J38" s="4493"/>
      <c r="K38" s="4494">
        <f>ROUND(18550*(1-B85),2)</f>
        <v>18550</v>
      </c>
      <c r="L38" s="4495"/>
      <c r="M38" s="4496" t="s">
        <v>17</v>
      </c>
      <c r="N38" s="4497"/>
      <c r="O38" s="4496">
        <f>ROUND(19500*(1-B85),2)</f>
        <v>19500</v>
      </c>
      <c r="P38" s="4497"/>
      <c r="Q38" s="4496" t="s">
        <v>17</v>
      </c>
      <c r="R38" s="4497"/>
    </row>
    <row r="39" spans="1:18" s="794" customFormat="1" ht="20.25" x14ac:dyDescent="0.25">
      <c r="A39" s="1783" t="s">
        <v>2702</v>
      </c>
      <c r="B39" s="4498"/>
      <c r="C39" s="4498"/>
      <c r="D39" s="4498"/>
      <c r="E39" s="4498"/>
      <c r="F39" s="4498"/>
      <c r="G39" s="4498"/>
      <c r="H39" s="4498"/>
      <c r="I39" s="4498"/>
      <c r="J39" s="4498"/>
      <c r="K39" s="4498"/>
      <c r="L39" s="4498"/>
      <c r="M39" s="4498"/>
      <c r="N39" s="4498"/>
      <c r="O39" s="4498"/>
      <c r="P39" s="4498"/>
      <c r="Q39" s="4498"/>
      <c r="R39" s="4499"/>
    </row>
    <row r="40" spans="1:18" s="794" customFormat="1" ht="20.25" x14ac:dyDescent="0.25">
      <c r="A40" s="804" t="s">
        <v>2906</v>
      </c>
      <c r="B40" s="1787">
        <f>ROUND(16550*(1-B85),2)</f>
        <v>16550</v>
      </c>
      <c r="C40" s="1787">
        <f>ROUND(19000*(1-B85),2)</f>
        <v>19000</v>
      </c>
      <c r="D40" s="1787">
        <f>ROUND(20100*(1-B85),2)</f>
        <v>20100</v>
      </c>
      <c r="E40" s="1787">
        <f>ROUND(21000*(1-B85),2)</f>
        <v>21000</v>
      </c>
      <c r="F40" s="1787">
        <f>ROUND(21000*(1-B85),2)</f>
        <v>21000</v>
      </c>
      <c r="G40" s="1787">
        <f>ROUND(22350*(1-B85),2)</f>
        <v>22350</v>
      </c>
      <c r="H40" s="1787">
        <f>ROUND(24600*(1-B85),2)</f>
        <v>24600</v>
      </c>
      <c r="I40" s="4492">
        <f>ROUND(27700*(1-B85),2)</f>
        <v>27700</v>
      </c>
      <c r="J40" s="4493"/>
      <c r="K40" s="4494">
        <f>ROUND(26150*(1-B85),2)</f>
        <v>26150</v>
      </c>
      <c r="L40" s="4495"/>
      <c r="M40" s="4496">
        <f>ROUND(27950*(1-B85),2)</f>
        <v>27950</v>
      </c>
      <c r="N40" s="4497"/>
      <c r="O40" s="4496">
        <f>ROUND(27500*(1-B85),2)</f>
        <v>27500</v>
      </c>
      <c r="P40" s="4497"/>
      <c r="Q40" s="4496">
        <f>ROUND(30600*(1-B85),2)</f>
        <v>30600</v>
      </c>
      <c r="R40" s="4497"/>
    </row>
    <row r="41" spans="1:18" s="794" customFormat="1" ht="20.25" x14ac:dyDescent="0.25">
      <c r="A41" s="804" t="s">
        <v>2703</v>
      </c>
      <c r="B41" s="1787">
        <f>ROUND(16550*(1-E85),2)</f>
        <v>16550</v>
      </c>
      <c r="C41" s="1787" t="s">
        <v>17</v>
      </c>
      <c r="D41" s="1787" t="s">
        <v>17</v>
      </c>
      <c r="E41" s="1787">
        <f>ROUND(21000*(1-E85),2)</f>
        <v>21000</v>
      </c>
      <c r="F41" s="1785">
        <f>ROUND(21000*(1-E85),2)</f>
        <v>21000</v>
      </c>
      <c r="G41" s="1787">
        <f>ROUND(22350*(1-E85),2)</f>
        <v>22350</v>
      </c>
      <c r="H41" s="1787">
        <f>ROUND(24600*(1-E85),2)</f>
        <v>24600</v>
      </c>
      <c r="I41" s="4492" t="s">
        <v>17</v>
      </c>
      <c r="J41" s="4493"/>
      <c r="K41" s="4500">
        <f>ROUND(26150*(1-E85),2)</f>
        <v>26150</v>
      </c>
      <c r="L41" s="4501"/>
      <c r="M41" s="4496">
        <f>ROUND(27950*(1-E85),2)</f>
        <v>27950</v>
      </c>
      <c r="N41" s="4497"/>
      <c r="O41" s="4492">
        <f>ROUND(27500*(1-E85),2)</f>
        <v>27500</v>
      </c>
      <c r="P41" s="4493"/>
      <c r="Q41" s="4496">
        <f>ROUND(30600*(1-E85),2)</f>
        <v>30600</v>
      </c>
      <c r="R41" s="4497"/>
    </row>
    <row r="42" spans="1:18" s="794" customFormat="1" ht="20.25" customHeight="1" x14ac:dyDescent="0.25">
      <c r="A42" s="804" t="s">
        <v>2704</v>
      </c>
      <c r="B42" s="1787" t="s">
        <v>17</v>
      </c>
      <c r="C42" s="1787" t="s">
        <v>17</v>
      </c>
      <c r="D42" s="1787" t="s">
        <v>17</v>
      </c>
      <c r="E42" s="1787">
        <f>ROUND(21000*(1-B85),2)</f>
        <v>21000</v>
      </c>
      <c r="F42" s="1787" t="s">
        <v>17</v>
      </c>
      <c r="G42" s="1787">
        <f>ROUND(22350*(1-B85),2)</f>
        <v>22350</v>
      </c>
      <c r="H42" s="1787">
        <f>ROUND(24600*(1-B85),2)</f>
        <v>24600</v>
      </c>
      <c r="I42" s="4496" t="s">
        <v>17</v>
      </c>
      <c r="J42" s="4497"/>
      <c r="K42" s="4496" t="s">
        <v>17</v>
      </c>
      <c r="L42" s="4497"/>
      <c r="M42" s="4496">
        <f>ROUND(27950*(1-B85),2)</f>
        <v>27950</v>
      </c>
      <c r="N42" s="4497"/>
      <c r="O42" s="4496" t="s">
        <v>17</v>
      </c>
      <c r="P42" s="4497"/>
      <c r="Q42" s="4496" t="s">
        <v>17</v>
      </c>
      <c r="R42" s="4497"/>
    </row>
    <row r="43" spans="1:18" s="794" customFormat="1" ht="40.5" x14ac:dyDescent="0.25">
      <c r="A43" s="1820" t="s">
        <v>2705</v>
      </c>
      <c r="B43" s="1787">
        <f>ROUND(22650*(1-B85),2)</f>
        <v>22650</v>
      </c>
      <c r="C43" s="1787" t="s">
        <v>17</v>
      </c>
      <c r="D43" s="1787">
        <f>ROUND(27550*(1-C85),2)</f>
        <v>27550</v>
      </c>
      <c r="E43" s="1787">
        <f>ROUND(28750*(1-D85),2)</f>
        <v>28750</v>
      </c>
      <c r="F43" s="1787">
        <f>ROUND(28750*(1-E85),2)</f>
        <v>28750</v>
      </c>
      <c r="G43" s="1787">
        <f>ROUND(30600*(1-F85),2)</f>
        <v>30600</v>
      </c>
      <c r="H43" s="1787">
        <f>ROUND(33650*(1-G85),2)</f>
        <v>33650</v>
      </c>
      <c r="I43" s="4496">
        <f>ROUND(37950*(1-H85),2)</f>
        <v>37950</v>
      </c>
      <c r="J43" s="4497"/>
      <c r="K43" s="4496">
        <f>ROUND(35800*(1-J85),2)</f>
        <v>35800</v>
      </c>
      <c r="L43" s="4497"/>
      <c r="M43" s="4496" t="s">
        <v>17</v>
      </c>
      <c r="N43" s="4497"/>
      <c r="O43" s="4496">
        <f>ROUND(37650*(1-N85),2)</f>
        <v>37650</v>
      </c>
      <c r="P43" s="4497"/>
      <c r="Q43" s="4496" t="s">
        <v>17</v>
      </c>
      <c r="R43" s="4497"/>
    </row>
    <row r="44" spans="1:18" s="794" customFormat="1" ht="20.25" customHeight="1" x14ac:dyDescent="0.25">
      <c r="A44" s="4482" t="s">
        <v>2706</v>
      </c>
      <c r="B44" s="4482"/>
      <c r="C44" s="4482"/>
      <c r="D44" s="4482"/>
      <c r="E44" s="4482"/>
      <c r="F44" s="4482"/>
      <c r="G44" s="4482"/>
      <c r="H44" s="4482"/>
      <c r="I44" s="4482"/>
      <c r="J44" s="4482"/>
      <c r="K44" s="4482"/>
      <c r="L44" s="4482"/>
      <c r="M44" s="4482"/>
      <c r="N44" s="4482"/>
      <c r="O44" s="4482"/>
      <c r="P44" s="4482"/>
      <c r="Q44" s="4482"/>
      <c r="R44" s="4482"/>
    </row>
    <row r="45" spans="1:18" s="794" customFormat="1" ht="20.25" customHeight="1" x14ac:dyDescent="0.25">
      <c r="A45" s="4502" t="s">
        <v>2707</v>
      </c>
      <c r="B45" s="4502"/>
      <c r="C45" s="4502"/>
      <c r="D45" s="4502"/>
      <c r="E45" s="4502"/>
      <c r="F45" s="4502"/>
      <c r="G45" s="4502"/>
      <c r="H45" s="4502"/>
      <c r="I45" s="4502"/>
      <c r="J45" s="4502"/>
      <c r="K45" s="4496">
        <f>ROUND(29000*(1-H85),2)</f>
        <v>29000</v>
      </c>
      <c r="L45" s="4503"/>
      <c r="M45" s="4503"/>
      <c r="N45" s="4503"/>
      <c r="O45" s="4503"/>
      <c r="P45" s="4503"/>
      <c r="Q45" s="4503"/>
      <c r="R45" s="4497"/>
    </row>
    <row r="46" spans="1:18" s="794" customFormat="1" ht="20.25" customHeight="1" x14ac:dyDescent="0.25">
      <c r="A46" s="4502" t="s">
        <v>2708</v>
      </c>
      <c r="B46" s="4502"/>
      <c r="C46" s="4502"/>
      <c r="D46" s="4502"/>
      <c r="E46" s="4502"/>
      <c r="F46" s="4502"/>
      <c r="G46" s="4502"/>
      <c r="H46" s="4502"/>
      <c r="I46" s="4502"/>
      <c r="J46" s="4502"/>
      <c r="K46" s="4496">
        <f>ROUND(15400*(1-H85),2)</f>
        <v>15400</v>
      </c>
      <c r="L46" s="4503"/>
      <c r="M46" s="4503"/>
      <c r="N46" s="4503"/>
      <c r="O46" s="4503"/>
      <c r="P46" s="4503"/>
      <c r="Q46" s="4503"/>
      <c r="R46" s="4497"/>
    </row>
    <row r="47" spans="1:18" s="794" customFormat="1" ht="26.25" x14ac:dyDescent="0.25">
      <c r="A47" s="4482" t="s">
        <v>2709</v>
      </c>
      <c r="B47" s="4482"/>
      <c r="C47" s="4482"/>
      <c r="D47" s="4482"/>
      <c r="E47" s="4482"/>
      <c r="F47" s="4482"/>
      <c r="G47" s="4482"/>
      <c r="H47" s="4482"/>
      <c r="I47" s="4482"/>
      <c r="J47" s="4482"/>
      <c r="K47" s="4482"/>
      <c r="L47" s="4482"/>
      <c r="M47" s="4482"/>
      <c r="N47" s="4482"/>
      <c r="O47" s="4482"/>
      <c r="P47" s="4482"/>
      <c r="Q47" s="4482"/>
      <c r="R47" s="4482"/>
    </row>
    <row r="48" spans="1:18" s="794" customFormat="1" ht="26.25" x14ac:dyDescent="0.25">
      <c r="A48" s="4504" t="s">
        <v>2710</v>
      </c>
      <c r="B48" s="4505"/>
      <c r="C48" s="4505"/>
      <c r="D48" s="4505"/>
      <c r="E48" s="4505"/>
      <c r="F48" s="4505"/>
      <c r="G48" s="4505"/>
      <c r="H48" s="4505"/>
      <c r="I48" s="4505"/>
      <c r="J48" s="4505"/>
      <c r="K48" s="4505"/>
      <c r="L48" s="4505"/>
      <c r="M48" s="4505"/>
      <c r="N48" s="4505"/>
      <c r="O48" s="4505"/>
      <c r="P48" s="4505"/>
      <c r="Q48" s="4505"/>
      <c r="R48" s="4506"/>
    </row>
    <row r="49" spans="1:18" s="794" customFormat="1" ht="20.25" x14ac:dyDescent="0.25">
      <c r="A49" s="1784" t="s">
        <v>2711</v>
      </c>
      <c r="B49" s="1785">
        <f>ROUND(6150*(1-B85),2)</f>
        <v>6150</v>
      </c>
      <c r="C49" s="1785">
        <f>ROUND(6300*(1-B85),2)</f>
        <v>6300</v>
      </c>
      <c r="D49" s="1785">
        <f>ROUND(6500*(1-B85),2)</f>
        <v>6500</v>
      </c>
      <c r="E49" s="1785">
        <f>ROUND(7050*(1-B85),2)</f>
        <v>7050</v>
      </c>
      <c r="F49" s="1785">
        <f>ROUND(7050*(1-B85),2)</f>
        <v>7050</v>
      </c>
      <c r="G49" s="1787">
        <f>ROUND(7400*(1-B85),2)</f>
        <v>7400</v>
      </c>
      <c r="H49" s="1787">
        <f>ROUND(7850*(1-B85),2)</f>
        <v>7850</v>
      </c>
      <c r="I49" s="4496">
        <f>ROUND(8650*(1-B85),2)</f>
        <v>8650</v>
      </c>
      <c r="J49" s="4497"/>
      <c r="K49" s="4494">
        <f>ROUND(8350*(1-B85),2)</f>
        <v>8350</v>
      </c>
      <c r="L49" s="4495"/>
      <c r="M49" s="4496">
        <f>ROUND(8800*(1-B85),2)</f>
        <v>8800</v>
      </c>
      <c r="N49" s="4497"/>
      <c r="O49" s="4496">
        <f>ROUND(8750*(1-B85),2)</f>
        <v>8750</v>
      </c>
      <c r="P49" s="4497"/>
      <c r="Q49" s="4496">
        <f>ROUND(9250*(1-B85),2)</f>
        <v>9250</v>
      </c>
      <c r="R49" s="4497"/>
    </row>
    <row r="50" spans="1:18" s="794" customFormat="1" ht="20.25" x14ac:dyDescent="0.25">
      <c r="A50" s="803" t="s">
        <v>2712</v>
      </c>
      <c r="B50" s="1785">
        <f>ROUND(4700*(1-B85),2)</f>
        <v>4700</v>
      </c>
      <c r="C50" s="1785">
        <f>ROUND(4800*(1-B85),2)</f>
        <v>4800</v>
      </c>
      <c r="D50" s="1785">
        <f>ROUND(4950*(1-B85),2)</f>
        <v>4950</v>
      </c>
      <c r="E50" s="1785">
        <f>ROUND(5350*(1-B85),2)</f>
        <v>5350</v>
      </c>
      <c r="F50" s="1785">
        <f>ROUND(5350*(1-B85),2)</f>
        <v>5350</v>
      </c>
      <c r="G50" s="1785">
        <f>ROUND(5650*(1-B85),2)</f>
        <v>5650</v>
      </c>
      <c r="H50" s="1785">
        <f>ROUND(6000*(1-B85),2)</f>
        <v>6000</v>
      </c>
      <c r="I50" s="4492">
        <f>ROUND(6600*(1-B85),2)</f>
        <v>6600</v>
      </c>
      <c r="J50" s="4493"/>
      <c r="K50" s="4492">
        <f>ROUND(6400*(1-B85),2)</f>
        <v>6400</v>
      </c>
      <c r="L50" s="4493"/>
      <c r="M50" s="4492">
        <f>ROUND(6700*(1-B85),2)</f>
        <v>6700</v>
      </c>
      <c r="N50" s="4493"/>
      <c r="O50" s="4492">
        <f>ROUND(6650*(1-B85),2)</f>
        <v>6650</v>
      </c>
      <c r="P50" s="4493"/>
      <c r="Q50" s="4492">
        <f>ROUND(7050*(1-B85),2)</f>
        <v>7050</v>
      </c>
      <c r="R50" s="4493"/>
    </row>
    <row r="51" spans="1:18" s="794" customFormat="1" ht="26.25" x14ac:dyDescent="0.25">
      <c r="A51" s="4504" t="s">
        <v>2713</v>
      </c>
      <c r="B51" s="4505"/>
      <c r="C51" s="4505"/>
      <c r="D51" s="4505"/>
      <c r="E51" s="4505"/>
      <c r="F51" s="4505"/>
      <c r="G51" s="4505"/>
      <c r="H51" s="4505"/>
      <c r="I51" s="4505"/>
      <c r="J51" s="4505"/>
      <c r="K51" s="4505"/>
      <c r="L51" s="4505"/>
      <c r="M51" s="4505"/>
      <c r="N51" s="4505"/>
      <c r="O51" s="4505"/>
      <c r="P51" s="4505"/>
      <c r="Q51" s="4505"/>
      <c r="R51" s="4506"/>
    </row>
    <row r="52" spans="1:18" s="794" customFormat="1" ht="20.25" customHeight="1" x14ac:dyDescent="0.25">
      <c r="A52" s="801" t="s">
        <v>2714</v>
      </c>
      <c r="B52" s="4492">
        <f>ROUND(4650*(1-H85),2)</f>
        <v>4650</v>
      </c>
      <c r="C52" s="4507"/>
      <c r="D52" s="4507"/>
      <c r="E52" s="4507"/>
      <c r="F52" s="4507"/>
      <c r="G52" s="4507"/>
      <c r="H52" s="4507"/>
      <c r="I52" s="4507"/>
      <c r="J52" s="4507"/>
      <c r="K52" s="4507"/>
      <c r="L52" s="4507"/>
      <c r="M52" s="4507"/>
      <c r="N52" s="4507"/>
      <c r="O52" s="4507"/>
      <c r="P52" s="4507"/>
      <c r="Q52" s="4507"/>
      <c r="R52" s="4493"/>
    </row>
    <row r="53" spans="1:18" s="794" customFormat="1" ht="20.25" customHeight="1" x14ac:dyDescent="0.25">
      <c r="A53" s="801" t="s">
        <v>2715</v>
      </c>
      <c r="B53" s="4492">
        <f>ROUND(2900*(1-H85),2)</f>
        <v>2900</v>
      </c>
      <c r="C53" s="4507"/>
      <c r="D53" s="4507"/>
      <c r="E53" s="4507"/>
      <c r="F53" s="4507"/>
      <c r="G53" s="4507"/>
      <c r="H53" s="4507"/>
      <c r="I53" s="4507"/>
      <c r="J53" s="4507"/>
      <c r="K53" s="4507"/>
      <c r="L53" s="4507"/>
      <c r="M53" s="4507"/>
      <c r="N53" s="4507"/>
      <c r="O53" s="4507"/>
      <c r="P53" s="4507"/>
      <c r="Q53" s="4507"/>
      <c r="R53" s="4493"/>
    </row>
    <row r="54" spans="1:18" s="794" customFormat="1" ht="20.25" customHeight="1" x14ac:dyDescent="0.25">
      <c r="A54" s="801" t="s">
        <v>2716</v>
      </c>
      <c r="B54" s="4492">
        <f>ROUND(1850*(1-H85),2)</f>
        <v>1850</v>
      </c>
      <c r="C54" s="4507"/>
      <c r="D54" s="4507"/>
      <c r="E54" s="4507"/>
      <c r="F54" s="4507"/>
      <c r="G54" s="4507"/>
      <c r="H54" s="4507"/>
      <c r="I54" s="4507"/>
      <c r="J54" s="4507"/>
      <c r="K54" s="4507"/>
      <c r="L54" s="4507"/>
      <c r="M54" s="4507"/>
      <c r="N54" s="4507"/>
      <c r="O54" s="4507"/>
      <c r="P54" s="4507"/>
      <c r="Q54" s="4507"/>
      <c r="R54" s="4493"/>
    </row>
    <row r="55" spans="1:18" s="794" customFormat="1" ht="26.25" x14ac:dyDescent="0.25">
      <c r="A55" s="4504" t="s">
        <v>2717</v>
      </c>
      <c r="B55" s="4505"/>
      <c r="C55" s="4505"/>
      <c r="D55" s="4505"/>
      <c r="E55" s="4505"/>
      <c r="F55" s="4505"/>
      <c r="G55" s="4505"/>
      <c r="H55" s="4505"/>
      <c r="I55" s="4505"/>
      <c r="J55" s="4505"/>
      <c r="K55" s="4505"/>
      <c r="L55" s="4505"/>
      <c r="M55" s="4505"/>
      <c r="N55" s="4505"/>
      <c r="O55" s="4505"/>
      <c r="P55" s="4505"/>
      <c r="Q55" s="4505"/>
      <c r="R55" s="4506"/>
    </row>
    <row r="56" spans="1:18" s="794" customFormat="1" ht="20.25" customHeight="1" x14ac:dyDescent="0.25">
      <c r="A56" s="801" t="s">
        <v>2718</v>
      </c>
      <c r="B56" s="1785">
        <f>ROUND(16350*(1-H85),2)</f>
        <v>16350</v>
      </c>
      <c r="C56" s="1785">
        <f>ROUND(16700*(1-H85),2)</f>
        <v>16700</v>
      </c>
      <c r="D56" s="1785">
        <f>ROUND(17250*(1-H85),2)</f>
        <v>17250</v>
      </c>
      <c r="E56" s="1785">
        <f>ROUND(17800*(1-H85),2)</f>
        <v>17800</v>
      </c>
      <c r="F56" s="1785">
        <f>ROUND(17400*(1-H85),2)</f>
        <v>17400</v>
      </c>
      <c r="G56" s="1785">
        <f>ROUND(18150*(1-H85),2)</f>
        <v>18150</v>
      </c>
      <c r="H56" s="1785">
        <f>ROUND(18700*(1-H85),2)</f>
        <v>18700</v>
      </c>
      <c r="I56" s="4492">
        <f>ROUND(19600*(1-H85),2)</f>
        <v>19600</v>
      </c>
      <c r="J56" s="4493"/>
      <c r="K56" s="4494">
        <f>ROUND(18700*(1-H85),2)</f>
        <v>18700</v>
      </c>
      <c r="L56" s="4495"/>
      <c r="M56" s="4492">
        <f>ROUND(19400*(1-H85),2)</f>
        <v>19400</v>
      </c>
      <c r="N56" s="4493"/>
      <c r="O56" s="4492">
        <f>ROUND(19400*(1-H85),2)</f>
        <v>19400</v>
      </c>
      <c r="P56" s="4493"/>
      <c r="Q56" s="4492">
        <f>ROUND(19950*(1-H85),2)</f>
        <v>19950</v>
      </c>
      <c r="R56" s="4493"/>
    </row>
    <row r="57" spans="1:18" s="794" customFormat="1" ht="20.25" customHeight="1" x14ac:dyDescent="0.25">
      <c r="A57" s="803" t="s">
        <v>2719</v>
      </c>
      <c r="B57" s="1785">
        <f>ROUND(6200*(1-H85),2)</f>
        <v>6200</v>
      </c>
      <c r="C57" s="1785">
        <f>ROUND(6350*(1-H85),2)</f>
        <v>6350</v>
      </c>
      <c r="D57" s="1785">
        <f>ROUND(6550*(1-H85),2)</f>
        <v>6550</v>
      </c>
      <c r="E57" s="1785">
        <f>ROUND(6750*(1-H85),2)</f>
        <v>6750</v>
      </c>
      <c r="F57" s="1785">
        <f>ROUND(6600*(1-H85),2)</f>
        <v>6600</v>
      </c>
      <c r="G57" s="1787">
        <f>ROUND(6900*(1-H85),2)</f>
        <v>6900</v>
      </c>
      <c r="H57" s="1787">
        <f>ROUND(7100*(1-H85),2)</f>
        <v>7100</v>
      </c>
      <c r="I57" s="4496">
        <f>ROUND(7450*(1-H85),2)</f>
        <v>7450</v>
      </c>
      <c r="J57" s="4497"/>
      <c r="K57" s="4494">
        <f>ROUND(7100*(1-H85),2)</f>
        <v>7100</v>
      </c>
      <c r="L57" s="4495"/>
      <c r="M57" s="4496">
        <f>ROUND(7400*(1-H85),2)</f>
        <v>7400</v>
      </c>
      <c r="N57" s="4497"/>
      <c r="O57" s="4496">
        <f>ROUND(7400*(1-H85),2)</f>
        <v>7400</v>
      </c>
      <c r="P57" s="4497"/>
      <c r="Q57" s="4496">
        <f>ROUND(7600*(1-H85),2)</f>
        <v>7600</v>
      </c>
      <c r="R57" s="4497"/>
    </row>
    <row r="58" spans="1:18" s="794" customFormat="1" ht="26.25" x14ac:dyDescent="0.25">
      <c r="A58" s="4504" t="s">
        <v>2720</v>
      </c>
      <c r="B58" s="4505"/>
      <c r="C58" s="4505"/>
      <c r="D58" s="4505"/>
      <c r="E58" s="4505"/>
      <c r="F58" s="4505"/>
      <c r="G58" s="4505"/>
      <c r="H58" s="4505"/>
      <c r="I58" s="4505"/>
      <c r="J58" s="4505"/>
      <c r="K58" s="4505"/>
      <c r="L58" s="4505"/>
      <c r="M58" s="4505"/>
      <c r="N58" s="4505"/>
      <c r="O58" s="4505"/>
      <c r="P58" s="4505"/>
      <c r="Q58" s="4505"/>
      <c r="R58" s="4506"/>
    </row>
    <row r="59" spans="1:18" s="794" customFormat="1" ht="20.25" customHeight="1" x14ac:dyDescent="0.25">
      <c r="A59" s="1821" t="s">
        <v>2721</v>
      </c>
      <c r="B59" s="1785">
        <f>ROUND(12300*(1-H85),2)</f>
        <v>12300</v>
      </c>
      <c r="C59" s="1822" t="s">
        <v>17</v>
      </c>
      <c r="D59" s="1822" t="s">
        <v>17</v>
      </c>
      <c r="E59" s="1785">
        <f>ROUND(14050*(1-H87),2)</f>
        <v>14050</v>
      </c>
      <c r="F59" s="1785">
        <f>ROUND(14050*(1-J87),2)</f>
        <v>14050</v>
      </c>
      <c r="G59" s="1787">
        <f>ROUND(14800*(1-H87),2)</f>
        <v>14800</v>
      </c>
      <c r="H59" s="1787">
        <f>ROUND(15700*(1-J87),2)</f>
        <v>15700</v>
      </c>
      <c r="I59" s="4496">
        <f>ROUND(17300*(1-L87),2)</f>
        <v>17300</v>
      </c>
      <c r="J59" s="4497"/>
      <c r="K59" s="4508" t="s">
        <v>17</v>
      </c>
      <c r="L59" s="4509"/>
      <c r="M59" s="4496">
        <f>ROUND(17600*(1-B85),2)</f>
        <v>17600</v>
      </c>
      <c r="N59" s="4497"/>
      <c r="O59" s="4496" t="s">
        <v>17</v>
      </c>
      <c r="P59" s="4497"/>
      <c r="Q59" s="4496">
        <f>ROUND(18500*(1-D85),2)</f>
        <v>18500</v>
      </c>
      <c r="R59" s="4497"/>
    </row>
    <row r="60" spans="1:18" s="794" customFormat="1" ht="20.25" customHeight="1" x14ac:dyDescent="0.25">
      <c r="A60" s="1821" t="s">
        <v>2722</v>
      </c>
      <c r="B60" s="1785">
        <f>ROUND(9400*(1-E85),2)</f>
        <v>9400</v>
      </c>
      <c r="C60" s="1822" t="s">
        <v>17</v>
      </c>
      <c r="D60" s="1822" t="s">
        <v>17</v>
      </c>
      <c r="E60" s="1785">
        <f>ROUND(10750*(1-H85),2)</f>
        <v>10750</v>
      </c>
      <c r="F60" s="1785">
        <f>ROUND(10750*(1-J85),2)</f>
        <v>10750</v>
      </c>
      <c r="G60" s="1785">
        <f>ROUND(11300*(1-L85),2)</f>
        <v>11300</v>
      </c>
      <c r="H60" s="1785">
        <f>ROUND(12000*(1-N85),2)</f>
        <v>12000</v>
      </c>
      <c r="I60" s="4492">
        <f>ROUND(13200*(1-P85),2)</f>
        <v>13200</v>
      </c>
      <c r="J60" s="4493"/>
      <c r="K60" s="4508" t="s">
        <v>17</v>
      </c>
      <c r="L60" s="4510"/>
      <c r="M60" s="4511">
        <f>ROUND(13450*(1-S85),2)</f>
        <v>13450</v>
      </c>
      <c r="N60" s="4511"/>
      <c r="O60" s="4496" t="s">
        <v>17</v>
      </c>
      <c r="P60" s="4497"/>
      <c r="Q60" s="4492">
        <f>ROUND(14150*(1-U85),2)</f>
        <v>14150</v>
      </c>
      <c r="R60" s="4493"/>
    </row>
    <row r="61" spans="1:18" s="794" customFormat="1" ht="20.25" customHeight="1" x14ac:dyDescent="0.25">
      <c r="A61" s="1821" t="s">
        <v>2723</v>
      </c>
      <c r="B61" s="1787" t="s">
        <v>17</v>
      </c>
      <c r="C61" s="1787" t="s">
        <v>17</v>
      </c>
      <c r="D61" s="1787" t="s">
        <v>17</v>
      </c>
      <c r="E61" s="1787" t="s">
        <v>17</v>
      </c>
      <c r="F61" s="1787" t="s">
        <v>17</v>
      </c>
      <c r="G61" s="1785">
        <f>ROUND(22200*(1-L86),2)</f>
        <v>22200</v>
      </c>
      <c r="H61" s="1785">
        <f>ROUND(23550*(1-N86),2)</f>
        <v>23550</v>
      </c>
      <c r="I61" s="4492">
        <f>ROUND(25950*(1-P86),2)</f>
        <v>25950</v>
      </c>
      <c r="J61" s="4493"/>
      <c r="K61" s="4496" t="s">
        <v>17</v>
      </c>
      <c r="L61" s="4497"/>
      <c r="M61" s="4496" t="s">
        <v>17</v>
      </c>
      <c r="N61" s="4497"/>
      <c r="O61" s="4496" t="s">
        <v>17</v>
      </c>
      <c r="P61" s="4497"/>
      <c r="Q61" s="4496" t="s">
        <v>17</v>
      </c>
      <c r="R61" s="4497"/>
    </row>
    <row r="62" spans="1:18" s="794" customFormat="1" ht="20.25" customHeight="1" x14ac:dyDescent="0.25">
      <c r="A62" s="1821" t="s">
        <v>2724</v>
      </c>
      <c r="B62" s="1787" t="s">
        <v>17</v>
      </c>
      <c r="C62" s="1787" t="s">
        <v>17</v>
      </c>
      <c r="D62" s="1787" t="s">
        <v>17</v>
      </c>
      <c r="E62" s="1787" t="s">
        <v>17</v>
      </c>
      <c r="F62" s="1787" t="s">
        <v>17</v>
      </c>
      <c r="G62" s="1785">
        <f>ROUND(16950*(1-L87),2)</f>
        <v>16950</v>
      </c>
      <c r="H62" s="1785">
        <f>ROUND(18000*(1-N87),2)</f>
        <v>18000</v>
      </c>
      <c r="I62" s="4492">
        <f>ROUND(19800*(1-P87),2)</f>
        <v>19800</v>
      </c>
      <c r="J62" s="4493"/>
      <c r="K62" s="4496" t="s">
        <v>17</v>
      </c>
      <c r="L62" s="4497"/>
      <c r="M62" s="4496" t="s">
        <v>17</v>
      </c>
      <c r="N62" s="4497"/>
      <c r="O62" s="4496" t="s">
        <v>17</v>
      </c>
      <c r="P62" s="4497"/>
      <c r="Q62" s="4496" t="s">
        <v>17</v>
      </c>
      <c r="R62" s="4497"/>
    </row>
    <row r="63" spans="1:18" s="794" customFormat="1" ht="20.25" customHeight="1" x14ac:dyDescent="0.25">
      <c r="A63" s="1821" t="s">
        <v>2725</v>
      </c>
      <c r="B63" s="1785">
        <f>ROUND(12300*(1-E85),2)</f>
        <v>12300</v>
      </c>
      <c r="C63" s="1787" t="s">
        <v>17</v>
      </c>
      <c r="D63" s="1787" t="s">
        <v>17</v>
      </c>
      <c r="E63" s="1785">
        <f>ROUND(14100*(1-E85),2)</f>
        <v>14100</v>
      </c>
      <c r="F63" s="1785">
        <f>ROUND(14100*(1-E85),2)</f>
        <v>14100</v>
      </c>
      <c r="G63" s="1785">
        <f>ROUND(14800*(1-E85),2)</f>
        <v>14800</v>
      </c>
      <c r="H63" s="1785">
        <f>ROUND(15700*(1-E85),2)</f>
        <v>15700</v>
      </c>
      <c r="I63" s="4492">
        <f>ROUND(17300*(1-E85),2)</f>
        <v>17300</v>
      </c>
      <c r="J63" s="4493"/>
      <c r="K63" s="4496" t="s">
        <v>17</v>
      </c>
      <c r="L63" s="4497"/>
      <c r="M63" s="4492">
        <f>ROUND(17600*(1-G85),2)</f>
        <v>17600</v>
      </c>
      <c r="N63" s="4493"/>
      <c r="O63" s="4496" t="s">
        <v>17</v>
      </c>
      <c r="P63" s="4497"/>
      <c r="Q63" s="4492">
        <f>ROUND(18500*(1-J85),2)</f>
        <v>18500</v>
      </c>
      <c r="R63" s="4493"/>
    </row>
    <row r="64" spans="1:18" s="794" customFormat="1" ht="20.25" customHeight="1" x14ac:dyDescent="0.25">
      <c r="A64" s="1821" t="s">
        <v>2726</v>
      </c>
      <c r="B64" s="1785">
        <f>ROUND(9400*(1-E86),2)</f>
        <v>9400</v>
      </c>
      <c r="C64" s="1822" t="s">
        <v>17</v>
      </c>
      <c r="D64" s="1822" t="s">
        <v>17</v>
      </c>
      <c r="E64" s="1785">
        <f>ROUND(10700*(1-H86),2)</f>
        <v>10700</v>
      </c>
      <c r="F64" s="1785">
        <f>ROUND(10700*(1-J86),2)</f>
        <v>10700</v>
      </c>
      <c r="G64" s="1785">
        <f>ROUND(11300*(1-L86),2)</f>
        <v>11300</v>
      </c>
      <c r="H64" s="1785">
        <f>ROUND(12000*(1-N86),2)</f>
        <v>12000</v>
      </c>
      <c r="I64" s="4492">
        <f>ROUND(13200*(1-P86),2)</f>
        <v>13200</v>
      </c>
      <c r="J64" s="4493"/>
      <c r="K64" s="4492" t="s">
        <v>17</v>
      </c>
      <c r="L64" s="4493"/>
      <c r="M64" s="4492">
        <f>ROUND(13400*(1-S86),2)</f>
        <v>13400</v>
      </c>
      <c r="N64" s="4493"/>
      <c r="O64" s="4492" t="s">
        <v>17</v>
      </c>
      <c r="P64" s="4493"/>
      <c r="Q64" s="4492">
        <f>ROUND(14100*(1-E85),2)</f>
        <v>14100</v>
      </c>
      <c r="R64" s="4493"/>
    </row>
    <row r="65" spans="1:18" s="794" customFormat="1" ht="20.25" customHeight="1" x14ac:dyDescent="0.25">
      <c r="A65" s="4504" t="s">
        <v>2831</v>
      </c>
      <c r="B65" s="4505"/>
      <c r="C65" s="4505"/>
      <c r="D65" s="4505"/>
      <c r="E65" s="4505"/>
      <c r="F65" s="4505"/>
      <c r="G65" s="4505"/>
      <c r="H65" s="4505"/>
      <c r="I65" s="4505"/>
      <c r="J65" s="4505"/>
      <c r="K65" s="4505"/>
      <c r="L65" s="4505"/>
      <c r="M65" s="4505"/>
      <c r="N65" s="4505"/>
      <c r="O65" s="4505"/>
      <c r="P65" s="4505"/>
      <c r="Q65" s="4505"/>
      <c r="R65" s="4506"/>
    </row>
    <row r="66" spans="1:18" s="794" customFormat="1" ht="20.25" customHeight="1" x14ac:dyDescent="0.25">
      <c r="A66" s="1821" t="s">
        <v>2832</v>
      </c>
      <c r="B66" s="4492">
        <v>18250</v>
      </c>
      <c r="C66" s="4507"/>
      <c r="D66" s="4507"/>
      <c r="E66" s="4507"/>
      <c r="F66" s="4507"/>
      <c r="G66" s="4507"/>
      <c r="H66" s="4507"/>
      <c r="I66" s="4507"/>
      <c r="J66" s="4507"/>
      <c r="K66" s="4507"/>
      <c r="L66" s="4507"/>
      <c r="M66" s="4507"/>
      <c r="N66" s="4507"/>
      <c r="O66" s="4507"/>
      <c r="P66" s="4507"/>
      <c r="Q66" s="4507"/>
      <c r="R66" s="4493"/>
    </row>
    <row r="67" spans="1:18" s="794" customFormat="1" ht="20.25" customHeight="1" x14ac:dyDescent="0.25">
      <c r="A67" s="1821" t="s">
        <v>2833</v>
      </c>
      <c r="B67" s="4492">
        <v>11300</v>
      </c>
      <c r="C67" s="4507"/>
      <c r="D67" s="4507"/>
      <c r="E67" s="4507"/>
      <c r="F67" s="4507"/>
      <c r="G67" s="4507"/>
      <c r="H67" s="4507"/>
      <c r="I67" s="4507"/>
      <c r="J67" s="4507"/>
      <c r="K67" s="4507"/>
      <c r="L67" s="4507"/>
      <c r="M67" s="4507"/>
      <c r="N67" s="4507"/>
      <c r="O67" s="4507"/>
      <c r="P67" s="4507"/>
      <c r="Q67" s="4507"/>
      <c r="R67" s="4493"/>
    </row>
    <row r="68" spans="1:18" s="794" customFormat="1" ht="20.25" customHeight="1" x14ac:dyDescent="0.25">
      <c r="A68" s="1821" t="s">
        <v>2834</v>
      </c>
      <c r="B68" s="4492">
        <v>13100</v>
      </c>
      <c r="C68" s="4507"/>
      <c r="D68" s="4507"/>
      <c r="E68" s="4507"/>
      <c r="F68" s="4507"/>
      <c r="G68" s="4507"/>
      <c r="H68" s="4507"/>
      <c r="I68" s="4507"/>
      <c r="J68" s="4507"/>
      <c r="K68" s="4507"/>
      <c r="L68" s="4507"/>
      <c r="M68" s="4507"/>
      <c r="N68" s="4507"/>
      <c r="O68" s="4507"/>
      <c r="P68" s="4507"/>
      <c r="Q68" s="4507"/>
      <c r="R68" s="4493"/>
    </row>
    <row r="69" spans="1:18" s="794" customFormat="1" ht="20.25" customHeight="1" x14ac:dyDescent="0.25">
      <c r="A69" s="1821" t="s">
        <v>2835</v>
      </c>
      <c r="B69" s="4492">
        <v>18250</v>
      </c>
      <c r="C69" s="4507"/>
      <c r="D69" s="4507"/>
      <c r="E69" s="4507"/>
      <c r="F69" s="4507"/>
      <c r="G69" s="4507"/>
      <c r="H69" s="4507"/>
      <c r="I69" s="4507"/>
      <c r="J69" s="4507"/>
      <c r="K69" s="4507"/>
      <c r="L69" s="4507"/>
      <c r="M69" s="4507"/>
      <c r="N69" s="4507"/>
      <c r="O69" s="4507"/>
      <c r="P69" s="4507"/>
      <c r="Q69" s="4507"/>
      <c r="R69" s="4493"/>
    </row>
    <row r="70" spans="1:18" s="794" customFormat="1" ht="26.25" x14ac:dyDescent="0.25">
      <c r="A70" s="4482" t="s">
        <v>1328</v>
      </c>
      <c r="B70" s="4482"/>
      <c r="C70" s="4482"/>
      <c r="D70" s="4482"/>
      <c r="E70" s="4482"/>
      <c r="F70" s="4482"/>
      <c r="G70" s="4482"/>
      <c r="H70" s="4482"/>
      <c r="I70" s="4482"/>
      <c r="J70" s="4482"/>
      <c r="K70" s="4482"/>
      <c r="L70" s="4482"/>
      <c r="M70" s="4482"/>
      <c r="N70" s="4482"/>
      <c r="O70" s="4482"/>
      <c r="P70" s="4482"/>
      <c r="Q70" s="4482"/>
      <c r="R70" s="4482"/>
    </row>
    <row r="71" spans="1:18" s="794" customFormat="1" ht="20.25" customHeight="1" x14ac:dyDescent="0.25">
      <c r="A71" s="1823" t="s">
        <v>1381</v>
      </c>
      <c r="B71" s="1824" t="s">
        <v>1382</v>
      </c>
      <c r="C71" s="1823" t="s">
        <v>1383</v>
      </c>
      <c r="D71" s="1824" t="s">
        <v>1384</v>
      </c>
      <c r="E71" s="1824" t="s">
        <v>1385</v>
      </c>
      <c r="F71" s="4532" t="s">
        <v>1386</v>
      </c>
      <c r="G71" s="4533"/>
      <c r="H71" s="4534" t="s">
        <v>1387</v>
      </c>
      <c r="I71" s="4534"/>
      <c r="J71" s="4534"/>
      <c r="K71" s="4534" t="s">
        <v>1388</v>
      </c>
      <c r="L71" s="4534"/>
      <c r="M71" s="4534"/>
      <c r="N71" s="4534"/>
      <c r="O71" s="4535" t="s">
        <v>1389</v>
      </c>
      <c r="P71" s="4535"/>
      <c r="Q71" s="4535"/>
      <c r="R71" s="4535"/>
    </row>
    <row r="72" spans="1:18" s="794" customFormat="1" ht="20.25" customHeight="1" x14ac:dyDescent="0.25">
      <c r="A72" s="805" t="s">
        <v>2727</v>
      </c>
      <c r="B72" s="1786">
        <f>ROUND(9650*(1-E85),2)</f>
        <v>9650</v>
      </c>
      <c r="C72" s="1786">
        <f>ROUND(9650*(1-E88),2)</f>
        <v>9650</v>
      </c>
      <c r="D72" s="1785" t="s">
        <v>17</v>
      </c>
      <c r="E72" s="1786" t="s">
        <v>17</v>
      </c>
      <c r="F72" s="4530">
        <f>ROUND(3400*(1-E88),2)</f>
        <v>3400</v>
      </c>
      <c r="G72" s="4531"/>
      <c r="H72" s="4529" t="s">
        <v>17</v>
      </c>
      <c r="I72" s="4529"/>
      <c r="J72" s="4529"/>
      <c r="K72" s="4529" t="s">
        <v>17</v>
      </c>
      <c r="L72" s="4529"/>
      <c r="M72" s="4529"/>
      <c r="N72" s="4529"/>
      <c r="O72" s="4492">
        <f>ROUND(1250*(1-E88),2)</f>
        <v>1250</v>
      </c>
      <c r="P72" s="4507"/>
      <c r="Q72" s="4507"/>
      <c r="R72" s="4493"/>
    </row>
    <row r="73" spans="1:18" s="794" customFormat="1" ht="20.25" customHeight="1" x14ac:dyDescent="0.25">
      <c r="A73" s="806" t="s">
        <v>2728</v>
      </c>
      <c r="B73" s="1786">
        <f>ROUND(30050*(1-E88),2)</f>
        <v>30050</v>
      </c>
      <c r="C73" s="1786">
        <f>ROUND(30050*(1-E88),2)</f>
        <v>30050</v>
      </c>
      <c r="D73" s="1786" t="s">
        <v>17</v>
      </c>
      <c r="E73" s="1786" t="s">
        <v>17</v>
      </c>
      <c r="F73" s="4530" t="s">
        <v>17</v>
      </c>
      <c r="G73" s="4531"/>
      <c r="H73" s="4529" t="s">
        <v>17</v>
      </c>
      <c r="I73" s="4529"/>
      <c r="J73" s="4529"/>
      <c r="K73" s="4511">
        <f>ROUND(3400*(1-E88),2)</f>
        <v>3400</v>
      </c>
      <c r="L73" s="4511"/>
      <c r="M73" s="4511"/>
      <c r="N73" s="4511"/>
      <c r="O73" s="4511">
        <f>ROUND(1250*(1-E88),2)</f>
        <v>1250</v>
      </c>
      <c r="P73" s="4511"/>
      <c r="Q73" s="4511"/>
      <c r="R73" s="4511"/>
    </row>
    <row r="74" spans="1:18" s="794" customFormat="1" ht="20.25" customHeight="1" x14ac:dyDescent="0.25">
      <c r="A74" s="806" t="s">
        <v>2729</v>
      </c>
      <c r="B74" s="1786">
        <f>ROUND(11900*(1-E88),2)</f>
        <v>11900</v>
      </c>
      <c r="C74" s="1786">
        <f>ROUND(11900*(1-E88),2)</f>
        <v>11900</v>
      </c>
      <c r="D74" s="1786" t="s">
        <v>17</v>
      </c>
      <c r="E74" s="1786" t="s">
        <v>17</v>
      </c>
      <c r="F74" s="4492">
        <f>ROUND(3400*(1-E88),2)</f>
        <v>3400</v>
      </c>
      <c r="G74" s="4493"/>
      <c r="H74" s="4529" t="s">
        <v>17</v>
      </c>
      <c r="I74" s="4529"/>
      <c r="J74" s="4529"/>
      <c r="K74" s="4529" t="s">
        <v>17</v>
      </c>
      <c r="L74" s="4529"/>
      <c r="M74" s="4529"/>
      <c r="N74" s="4529"/>
      <c r="O74" s="4511" t="s">
        <v>17</v>
      </c>
      <c r="P74" s="4511"/>
      <c r="Q74" s="4511"/>
      <c r="R74" s="4511"/>
    </row>
    <row r="75" spans="1:18" s="794" customFormat="1" ht="20.25" customHeight="1" x14ac:dyDescent="0.25">
      <c r="A75" s="806" t="s">
        <v>2730</v>
      </c>
      <c r="B75" s="1786" t="s">
        <v>17</v>
      </c>
      <c r="C75" s="1786" t="s">
        <v>17</v>
      </c>
      <c r="D75" s="1786">
        <f>ROUND(16150*(1-E85),2)</f>
        <v>16150</v>
      </c>
      <c r="E75" s="1786">
        <f>ROUND(16150*(1-E85),2)</f>
        <v>16150</v>
      </c>
      <c r="F75" s="4492">
        <f>ROUND(3400*(1-E88),2)</f>
        <v>3400</v>
      </c>
      <c r="G75" s="4493"/>
      <c r="H75" s="4529" t="s">
        <v>17</v>
      </c>
      <c r="I75" s="4529"/>
      <c r="J75" s="4529"/>
      <c r="K75" s="4529" t="s">
        <v>17</v>
      </c>
      <c r="L75" s="4529"/>
      <c r="M75" s="4529"/>
      <c r="N75" s="4529"/>
      <c r="O75" s="4511" t="s">
        <v>17</v>
      </c>
      <c r="P75" s="4511"/>
      <c r="Q75" s="4511"/>
      <c r="R75" s="4511"/>
    </row>
    <row r="76" spans="1:18" s="794" customFormat="1" ht="20.25" customHeight="1" x14ac:dyDescent="0.25">
      <c r="A76" s="806" t="s">
        <v>2731</v>
      </c>
      <c r="B76" s="1786">
        <f>ROUND(19400*(1-E88),2)</f>
        <v>19400</v>
      </c>
      <c r="C76" s="1786">
        <f>ROUND(19400*(1-E88),2)</f>
        <v>19400</v>
      </c>
      <c r="D76" s="1786" t="s">
        <v>17</v>
      </c>
      <c r="E76" s="1786" t="s">
        <v>17</v>
      </c>
      <c r="F76" s="4530" t="s">
        <v>17</v>
      </c>
      <c r="G76" s="4531"/>
      <c r="H76" s="4529">
        <f>ROUND(3400*(1-E88),2)</f>
        <v>3400</v>
      </c>
      <c r="I76" s="4529"/>
      <c r="J76" s="4529"/>
      <c r="K76" s="4529" t="s">
        <v>17</v>
      </c>
      <c r="L76" s="4529"/>
      <c r="M76" s="4529"/>
      <c r="N76" s="4529"/>
      <c r="O76" s="4529">
        <f>ROUND(1250*(1-E88),2)</f>
        <v>1250</v>
      </c>
      <c r="P76" s="4529"/>
      <c r="Q76" s="4529"/>
      <c r="R76" s="4529"/>
    </row>
    <row r="77" spans="1:18" s="794" customFormat="1" ht="20.25" customHeight="1" x14ac:dyDescent="0.25">
      <c r="A77" s="808" t="s">
        <v>1356</v>
      </c>
      <c r="B77" s="1826"/>
      <c r="C77" s="1827"/>
      <c r="D77" s="1827"/>
      <c r="E77" s="1826"/>
      <c r="F77" s="1826"/>
      <c r="G77" s="1826"/>
      <c r="H77" s="1826"/>
      <c r="I77" s="1826"/>
      <c r="J77" s="1826"/>
      <c r="K77" s="1826"/>
      <c r="L77" s="1826"/>
      <c r="M77" s="1826"/>
      <c r="N77" s="1826"/>
      <c r="O77" s="1826"/>
      <c r="P77" s="1826"/>
      <c r="Q77" s="1826"/>
      <c r="R77" s="1826"/>
    </row>
    <row r="78" spans="1:18" s="794" customFormat="1" ht="20.25" x14ac:dyDescent="0.25">
      <c r="A78" s="808" t="s">
        <v>650</v>
      </c>
    </row>
    <row r="79" spans="1:18" s="794" customFormat="1" ht="20.25" x14ac:dyDescent="0.25">
      <c r="A79" s="1838" t="s">
        <v>2820</v>
      </c>
    </row>
    <row r="80" spans="1:18" s="1837" customFormat="1" ht="20.25" x14ac:dyDescent="0.25">
      <c r="A80" s="1839" t="s">
        <v>2819</v>
      </c>
    </row>
    <row r="81" spans="1:19" s="794" customFormat="1" ht="20.25" x14ac:dyDescent="0.25">
      <c r="A81" s="429" t="s">
        <v>1390</v>
      </c>
      <c r="R81" s="3"/>
      <c r="S81" s="809"/>
    </row>
    <row r="82" spans="1:19" s="794" customFormat="1" ht="20.25" x14ac:dyDescent="0.25">
      <c r="A82" s="810" t="s">
        <v>2259</v>
      </c>
      <c r="S82" s="47"/>
    </row>
    <row r="83" spans="1:19" s="794" customFormat="1" ht="20.25" x14ac:dyDescent="0.25"/>
    <row r="84" spans="1:19" s="794" customFormat="1" ht="51.75" customHeight="1" x14ac:dyDescent="0.25">
      <c r="A84" s="4512" t="s">
        <v>66</v>
      </c>
      <c r="B84" s="4515" t="s">
        <v>1391</v>
      </c>
      <c r="C84" s="4516"/>
      <c r="D84" s="4517"/>
      <c r="E84" s="4518" t="s">
        <v>1392</v>
      </c>
      <c r="F84" s="4519"/>
      <c r="G84" s="4520"/>
      <c r="H84" s="4521" t="s">
        <v>1358</v>
      </c>
      <c r="I84" s="4521"/>
      <c r="J84" s="4521"/>
      <c r="K84" s="4521"/>
      <c r="L84" s="811"/>
      <c r="M84" s="1828"/>
      <c r="N84" s="1"/>
      <c r="O84" s="1"/>
      <c r="P84" s="1"/>
      <c r="Q84" s="1"/>
    </row>
    <row r="85" spans="1:19" s="794" customFormat="1" ht="12" customHeight="1" x14ac:dyDescent="0.25">
      <c r="A85" s="4513"/>
      <c r="B85" s="4522">
        <v>0</v>
      </c>
      <c r="C85" s="4523"/>
      <c r="D85" s="4524"/>
      <c r="E85" s="4522">
        <v>0</v>
      </c>
      <c r="F85" s="4523"/>
      <c r="G85" s="4524"/>
      <c r="H85" s="4528">
        <v>0</v>
      </c>
      <c r="I85" s="4528"/>
      <c r="J85" s="4528"/>
      <c r="K85" s="4528"/>
      <c r="L85" s="812"/>
      <c r="M85" s="1829"/>
      <c r="N85" s="1"/>
      <c r="O85" s="1"/>
      <c r="P85" s="1"/>
      <c r="Q85" s="1"/>
    </row>
    <row r="86" spans="1:19" s="794" customFormat="1" ht="25.5" customHeight="1" x14ac:dyDescent="0.25">
      <c r="A86" s="4514"/>
      <c r="B86" s="4525"/>
      <c r="C86" s="4526"/>
      <c r="D86" s="4527"/>
      <c r="E86" s="4525"/>
      <c r="F86" s="4526"/>
      <c r="G86" s="4527"/>
      <c r="H86" s="4528"/>
      <c r="I86" s="4528"/>
      <c r="J86" s="4528"/>
      <c r="K86" s="4528"/>
      <c r="L86" s="812"/>
      <c r="M86" s="1829"/>
    </row>
    <row r="87" spans="1:19" s="794" customFormat="1" ht="12" customHeight="1" x14ac:dyDescent="0.25"/>
    <row r="88" spans="1:19" s="794" customFormat="1" ht="12" customHeight="1" x14ac:dyDescent="0.25"/>
    <row r="89" spans="1:19" s="794" customFormat="1" ht="12" customHeight="1" x14ac:dyDescent="0.25"/>
    <row r="90" spans="1:19" s="813" customFormat="1" ht="12" customHeight="1" x14ac:dyDescent="0.3"/>
  </sheetData>
  <mergeCells count="205">
    <mergeCell ref="O15:P15"/>
    <mergeCell ref="K19:L19"/>
    <mergeCell ref="I26:J26"/>
    <mergeCell ref="I27:J27"/>
    <mergeCell ref="I28:J28"/>
    <mergeCell ref="M16:N16"/>
    <mergeCell ref="A24:R24"/>
    <mergeCell ref="A25:R25"/>
    <mergeCell ref="H23:R23"/>
    <mergeCell ref="A20:R20"/>
    <mergeCell ref="Q31:R31"/>
    <mergeCell ref="K21:L21"/>
    <mergeCell ref="O27:P27"/>
    <mergeCell ref="O28:P28"/>
    <mergeCell ref="M26:N26"/>
    <mergeCell ref="M27:N27"/>
    <mergeCell ref="M28:N28"/>
    <mergeCell ref="Q26:R26"/>
    <mergeCell ref="Q27:R27"/>
    <mergeCell ref="Q28:R28"/>
    <mergeCell ref="A65:R65"/>
    <mergeCell ref="B66:R66"/>
    <mergeCell ref="B69:R69"/>
    <mergeCell ref="B67:R67"/>
    <mergeCell ref="B68:R68"/>
    <mergeCell ref="Q22:R22"/>
    <mergeCell ref="A12:R12"/>
    <mergeCell ref="K26:L26"/>
    <mergeCell ref="K27:L27"/>
    <mergeCell ref="K28:L28"/>
    <mergeCell ref="K22:L22"/>
    <mergeCell ref="K15:L15"/>
    <mergeCell ref="K16:L16"/>
    <mergeCell ref="I18:J18"/>
    <mergeCell ref="I19:J19"/>
    <mergeCell ref="I21:J21"/>
    <mergeCell ref="I22:J22"/>
    <mergeCell ref="I15:J15"/>
    <mergeCell ref="I16:J16"/>
    <mergeCell ref="M18:N18"/>
    <mergeCell ref="M19:N19"/>
    <mergeCell ref="M15:N15"/>
    <mergeCell ref="A14:R14"/>
    <mergeCell ref="A17:R17"/>
    <mergeCell ref="A70:R70"/>
    <mergeCell ref="F71:G71"/>
    <mergeCell ref="H71:J71"/>
    <mergeCell ref="K71:N71"/>
    <mergeCell ref="O71:R71"/>
    <mergeCell ref="F72:G72"/>
    <mergeCell ref="H72:J72"/>
    <mergeCell ref="K72:N72"/>
    <mergeCell ref="O72:R72"/>
    <mergeCell ref="O75:R75"/>
    <mergeCell ref="F76:G76"/>
    <mergeCell ref="H76:J76"/>
    <mergeCell ref="K76:N76"/>
    <mergeCell ref="O76:R76"/>
    <mergeCell ref="F73:G73"/>
    <mergeCell ref="H73:J73"/>
    <mergeCell ref="K73:N73"/>
    <mergeCell ref="O73:R73"/>
    <mergeCell ref="F74:G74"/>
    <mergeCell ref="H74:J74"/>
    <mergeCell ref="K74:N74"/>
    <mergeCell ref="O74:R74"/>
    <mergeCell ref="A84:A86"/>
    <mergeCell ref="B84:D84"/>
    <mergeCell ref="E84:G84"/>
    <mergeCell ref="H84:K84"/>
    <mergeCell ref="B85:D86"/>
    <mergeCell ref="E85:G86"/>
    <mergeCell ref="H85:K86"/>
    <mergeCell ref="F75:G75"/>
    <mergeCell ref="H75:J75"/>
    <mergeCell ref="K75:N75"/>
    <mergeCell ref="K63:L63"/>
    <mergeCell ref="M63:N63"/>
    <mergeCell ref="O63:P63"/>
    <mergeCell ref="Q63:R63"/>
    <mergeCell ref="I64:J64"/>
    <mergeCell ref="K64:L64"/>
    <mergeCell ref="M64:N64"/>
    <mergeCell ref="O64:P64"/>
    <mergeCell ref="Q64:R64"/>
    <mergeCell ref="I63:J63"/>
    <mergeCell ref="I61:J61"/>
    <mergeCell ref="K61:L61"/>
    <mergeCell ref="M61:N61"/>
    <mergeCell ref="O61:P61"/>
    <mergeCell ref="Q61:R61"/>
    <mergeCell ref="I62:J62"/>
    <mergeCell ref="K62:L62"/>
    <mergeCell ref="M62:N62"/>
    <mergeCell ref="O62:P62"/>
    <mergeCell ref="Q62:R62"/>
    <mergeCell ref="I59:J59"/>
    <mergeCell ref="K59:L59"/>
    <mergeCell ref="M59:N59"/>
    <mergeCell ref="O59:P59"/>
    <mergeCell ref="Q59:R59"/>
    <mergeCell ref="I60:J60"/>
    <mergeCell ref="K60:L60"/>
    <mergeCell ref="M60:N60"/>
    <mergeCell ref="O60:P60"/>
    <mergeCell ref="Q60:R60"/>
    <mergeCell ref="I57:J57"/>
    <mergeCell ref="K57:L57"/>
    <mergeCell ref="M57:N57"/>
    <mergeCell ref="O57:P57"/>
    <mergeCell ref="Q57:R57"/>
    <mergeCell ref="A58:R58"/>
    <mergeCell ref="B52:R52"/>
    <mergeCell ref="B53:R53"/>
    <mergeCell ref="B54:R54"/>
    <mergeCell ref="A55:R55"/>
    <mergeCell ref="I56:J56"/>
    <mergeCell ref="K56:L56"/>
    <mergeCell ref="M56:N56"/>
    <mergeCell ref="O56:P56"/>
    <mergeCell ref="Q56:R56"/>
    <mergeCell ref="I50:J50"/>
    <mergeCell ref="K50:L50"/>
    <mergeCell ref="M50:N50"/>
    <mergeCell ref="O50:P50"/>
    <mergeCell ref="Q50:R50"/>
    <mergeCell ref="A51:R51"/>
    <mergeCell ref="A48:R48"/>
    <mergeCell ref="I49:J49"/>
    <mergeCell ref="K49:L49"/>
    <mergeCell ref="M49:N49"/>
    <mergeCell ref="O49:P49"/>
    <mergeCell ref="Q49:R49"/>
    <mergeCell ref="A44:R44"/>
    <mergeCell ref="A45:J45"/>
    <mergeCell ref="K45:R45"/>
    <mergeCell ref="A46:J46"/>
    <mergeCell ref="K46:R46"/>
    <mergeCell ref="A47:R47"/>
    <mergeCell ref="I42:J42"/>
    <mergeCell ref="K42:L42"/>
    <mergeCell ref="M42:N42"/>
    <mergeCell ref="O42:P42"/>
    <mergeCell ref="Q42:R42"/>
    <mergeCell ref="I43:J43"/>
    <mergeCell ref="K43:L43"/>
    <mergeCell ref="M43:N43"/>
    <mergeCell ref="O43:P43"/>
    <mergeCell ref="Q43:R43"/>
    <mergeCell ref="I40:J40"/>
    <mergeCell ref="K40:L40"/>
    <mergeCell ref="M40:N40"/>
    <mergeCell ref="O40:P40"/>
    <mergeCell ref="Q40:R40"/>
    <mergeCell ref="I41:J41"/>
    <mergeCell ref="K41:L41"/>
    <mergeCell ref="M41:N41"/>
    <mergeCell ref="O41:P41"/>
    <mergeCell ref="Q41:R41"/>
    <mergeCell ref="I38:J38"/>
    <mergeCell ref="K38:L38"/>
    <mergeCell ref="M38:N38"/>
    <mergeCell ref="O38:P38"/>
    <mergeCell ref="Q38:R38"/>
    <mergeCell ref="B39:R39"/>
    <mergeCell ref="B36:R36"/>
    <mergeCell ref="I37:J37"/>
    <mergeCell ref="K37:L37"/>
    <mergeCell ref="M37:N37"/>
    <mergeCell ref="O37:P37"/>
    <mergeCell ref="Q37:R37"/>
    <mergeCell ref="I34:J34"/>
    <mergeCell ref="K34:L34"/>
    <mergeCell ref="M34:N34"/>
    <mergeCell ref="O34:P34"/>
    <mergeCell ref="Q34:R34"/>
    <mergeCell ref="I35:J35"/>
    <mergeCell ref="K35:L35"/>
    <mergeCell ref="M35:N35"/>
    <mergeCell ref="O35:P35"/>
    <mergeCell ref="Q35:R35"/>
    <mergeCell ref="A1:R10"/>
    <mergeCell ref="A30:R30"/>
    <mergeCell ref="Q13:R13"/>
    <mergeCell ref="A32:R32"/>
    <mergeCell ref="I33:J33"/>
    <mergeCell ref="K33:L33"/>
    <mergeCell ref="M33:N33"/>
    <mergeCell ref="O33:P33"/>
    <mergeCell ref="Q33:R33"/>
    <mergeCell ref="B23:F23"/>
    <mergeCell ref="O21:P21"/>
    <mergeCell ref="O22:P22"/>
    <mergeCell ref="M21:N21"/>
    <mergeCell ref="M22:N22"/>
    <mergeCell ref="O16:P16"/>
    <mergeCell ref="O18:P18"/>
    <mergeCell ref="O19:P19"/>
    <mergeCell ref="O26:P26"/>
    <mergeCell ref="Q15:R15"/>
    <mergeCell ref="Q16:R16"/>
    <mergeCell ref="Q18:R18"/>
    <mergeCell ref="Q19:R19"/>
    <mergeCell ref="Q21:R21"/>
    <mergeCell ref="K18:L18"/>
  </mergeCells>
  <printOptions horizontalCentered="1"/>
  <pageMargins left="0" right="0" top="0" bottom="0" header="0" footer="0"/>
  <pageSetup paperSize="9" scale="35" orientation="landscape" r:id="rId1"/>
  <headerFooter alignWithMargins="0">
    <oddFooter>&amp;R&amp;26Стр. &amp;P из  &amp;N
&amp;A</oddFooter>
  </headerFooter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84"/>
  <sheetViews>
    <sheetView zoomScale="50" zoomScaleNormal="50" zoomScaleSheetLayoutView="25" workbookViewId="0">
      <selection sqref="A1:C2"/>
    </sheetView>
  </sheetViews>
  <sheetFormatPr defaultRowHeight="12" customHeight="1" x14ac:dyDescent="0.2"/>
  <cols>
    <col min="1" max="1" width="112" style="814" customWidth="1"/>
    <col min="2" max="2" width="19" style="814" customWidth="1"/>
    <col min="3" max="3" width="18.85546875" style="814" customWidth="1"/>
    <col min="4" max="4" width="19.140625" style="814" customWidth="1"/>
    <col min="5" max="5" width="18.5703125" style="814" customWidth="1"/>
    <col min="6" max="6" width="18.85546875" style="814" customWidth="1"/>
    <col min="7" max="7" width="18.140625" style="814" customWidth="1"/>
    <col min="8" max="8" width="17.28515625" style="814" customWidth="1"/>
    <col min="9" max="11" width="16.42578125" style="814" customWidth="1"/>
    <col min="12" max="12" width="16.5703125" style="814" customWidth="1"/>
    <col min="13" max="13" width="16.85546875" style="814" customWidth="1"/>
    <col min="14" max="14" width="16.28515625" style="814" customWidth="1"/>
    <col min="15" max="15" width="17.42578125" style="814" customWidth="1"/>
    <col min="16" max="16" width="17.28515625" style="814" customWidth="1"/>
    <col min="17" max="17" width="15.5703125" style="814" customWidth="1"/>
    <col min="18" max="18" width="15.28515625" style="814" customWidth="1"/>
    <col min="19" max="19" width="8.5703125" style="814" customWidth="1"/>
    <col min="20" max="256" width="9.140625" style="814"/>
    <col min="257" max="257" width="112" style="814" customWidth="1"/>
    <col min="258" max="258" width="19" style="814" customWidth="1"/>
    <col min="259" max="259" width="18.85546875" style="814" customWidth="1"/>
    <col min="260" max="260" width="19.140625" style="814" customWidth="1"/>
    <col min="261" max="261" width="18.5703125" style="814" customWidth="1"/>
    <col min="262" max="262" width="18.85546875" style="814" customWidth="1"/>
    <col min="263" max="263" width="18.140625" style="814" customWidth="1"/>
    <col min="264" max="264" width="17.28515625" style="814" customWidth="1"/>
    <col min="265" max="267" width="16.42578125" style="814" customWidth="1"/>
    <col min="268" max="268" width="16.5703125" style="814" customWidth="1"/>
    <col min="269" max="269" width="16.85546875" style="814" customWidth="1"/>
    <col min="270" max="270" width="16.28515625" style="814" customWidth="1"/>
    <col min="271" max="271" width="17.42578125" style="814" customWidth="1"/>
    <col min="272" max="272" width="17.28515625" style="814" customWidth="1"/>
    <col min="273" max="273" width="15.5703125" style="814" customWidth="1"/>
    <col min="274" max="274" width="15.28515625" style="814" customWidth="1"/>
    <col min="275" max="275" width="8.5703125" style="814" customWidth="1"/>
    <col min="276" max="512" width="9.140625" style="814"/>
    <col min="513" max="513" width="112" style="814" customWidth="1"/>
    <col min="514" max="514" width="19" style="814" customWidth="1"/>
    <col min="515" max="515" width="18.85546875" style="814" customWidth="1"/>
    <col min="516" max="516" width="19.140625" style="814" customWidth="1"/>
    <col min="517" max="517" width="18.5703125" style="814" customWidth="1"/>
    <col min="518" max="518" width="18.85546875" style="814" customWidth="1"/>
    <col min="519" max="519" width="18.140625" style="814" customWidth="1"/>
    <col min="520" max="520" width="17.28515625" style="814" customWidth="1"/>
    <col min="521" max="523" width="16.42578125" style="814" customWidth="1"/>
    <col min="524" max="524" width="16.5703125" style="814" customWidth="1"/>
    <col min="525" max="525" width="16.85546875" style="814" customWidth="1"/>
    <col min="526" max="526" width="16.28515625" style="814" customWidth="1"/>
    <col min="527" max="527" width="17.42578125" style="814" customWidth="1"/>
    <col min="528" max="528" width="17.28515625" style="814" customWidth="1"/>
    <col min="529" max="529" width="15.5703125" style="814" customWidth="1"/>
    <col min="530" max="530" width="15.28515625" style="814" customWidth="1"/>
    <col min="531" max="531" width="8.5703125" style="814" customWidth="1"/>
    <col min="532" max="768" width="9.140625" style="814"/>
    <col min="769" max="769" width="112" style="814" customWidth="1"/>
    <col min="770" max="770" width="19" style="814" customWidth="1"/>
    <col min="771" max="771" width="18.85546875" style="814" customWidth="1"/>
    <col min="772" max="772" width="19.140625" style="814" customWidth="1"/>
    <col min="773" max="773" width="18.5703125" style="814" customWidth="1"/>
    <col min="774" max="774" width="18.85546875" style="814" customWidth="1"/>
    <col min="775" max="775" width="18.140625" style="814" customWidth="1"/>
    <col min="776" max="776" width="17.28515625" style="814" customWidth="1"/>
    <col min="777" max="779" width="16.42578125" style="814" customWidth="1"/>
    <col min="780" max="780" width="16.5703125" style="814" customWidth="1"/>
    <col min="781" max="781" width="16.85546875" style="814" customWidth="1"/>
    <col min="782" max="782" width="16.28515625" style="814" customWidth="1"/>
    <col min="783" max="783" width="17.42578125" style="814" customWidth="1"/>
    <col min="784" max="784" width="17.28515625" style="814" customWidth="1"/>
    <col min="785" max="785" width="15.5703125" style="814" customWidth="1"/>
    <col min="786" max="786" width="15.28515625" style="814" customWidth="1"/>
    <col min="787" max="787" width="8.5703125" style="814" customWidth="1"/>
    <col min="788" max="1024" width="9.140625" style="814"/>
    <col min="1025" max="1025" width="112" style="814" customWidth="1"/>
    <col min="1026" max="1026" width="19" style="814" customWidth="1"/>
    <col min="1027" max="1027" width="18.85546875" style="814" customWidth="1"/>
    <col min="1028" max="1028" width="19.140625" style="814" customWidth="1"/>
    <col min="1029" max="1029" width="18.5703125" style="814" customWidth="1"/>
    <col min="1030" max="1030" width="18.85546875" style="814" customWidth="1"/>
    <col min="1031" max="1031" width="18.140625" style="814" customWidth="1"/>
    <col min="1032" max="1032" width="17.28515625" style="814" customWidth="1"/>
    <col min="1033" max="1035" width="16.42578125" style="814" customWidth="1"/>
    <col min="1036" max="1036" width="16.5703125" style="814" customWidth="1"/>
    <col min="1037" max="1037" width="16.85546875" style="814" customWidth="1"/>
    <col min="1038" max="1038" width="16.28515625" style="814" customWidth="1"/>
    <col min="1039" max="1039" width="17.42578125" style="814" customWidth="1"/>
    <col min="1040" max="1040" width="17.28515625" style="814" customWidth="1"/>
    <col min="1041" max="1041" width="15.5703125" style="814" customWidth="1"/>
    <col min="1042" max="1042" width="15.28515625" style="814" customWidth="1"/>
    <col min="1043" max="1043" width="8.5703125" style="814" customWidth="1"/>
    <col min="1044" max="1280" width="9.140625" style="814"/>
    <col min="1281" max="1281" width="112" style="814" customWidth="1"/>
    <col min="1282" max="1282" width="19" style="814" customWidth="1"/>
    <col min="1283" max="1283" width="18.85546875" style="814" customWidth="1"/>
    <col min="1284" max="1284" width="19.140625" style="814" customWidth="1"/>
    <col min="1285" max="1285" width="18.5703125" style="814" customWidth="1"/>
    <col min="1286" max="1286" width="18.85546875" style="814" customWidth="1"/>
    <col min="1287" max="1287" width="18.140625" style="814" customWidth="1"/>
    <col min="1288" max="1288" width="17.28515625" style="814" customWidth="1"/>
    <col min="1289" max="1291" width="16.42578125" style="814" customWidth="1"/>
    <col min="1292" max="1292" width="16.5703125" style="814" customWidth="1"/>
    <col min="1293" max="1293" width="16.85546875" style="814" customWidth="1"/>
    <col min="1294" max="1294" width="16.28515625" style="814" customWidth="1"/>
    <col min="1295" max="1295" width="17.42578125" style="814" customWidth="1"/>
    <col min="1296" max="1296" width="17.28515625" style="814" customWidth="1"/>
    <col min="1297" max="1297" width="15.5703125" style="814" customWidth="1"/>
    <col min="1298" max="1298" width="15.28515625" style="814" customWidth="1"/>
    <col min="1299" max="1299" width="8.5703125" style="814" customWidth="1"/>
    <col min="1300" max="1536" width="9.140625" style="814"/>
    <col min="1537" max="1537" width="112" style="814" customWidth="1"/>
    <col min="1538" max="1538" width="19" style="814" customWidth="1"/>
    <col min="1539" max="1539" width="18.85546875" style="814" customWidth="1"/>
    <col min="1540" max="1540" width="19.140625" style="814" customWidth="1"/>
    <col min="1541" max="1541" width="18.5703125" style="814" customWidth="1"/>
    <col min="1542" max="1542" width="18.85546875" style="814" customWidth="1"/>
    <col min="1543" max="1543" width="18.140625" style="814" customWidth="1"/>
    <col min="1544" max="1544" width="17.28515625" style="814" customWidth="1"/>
    <col min="1545" max="1547" width="16.42578125" style="814" customWidth="1"/>
    <col min="1548" max="1548" width="16.5703125" style="814" customWidth="1"/>
    <col min="1549" max="1549" width="16.85546875" style="814" customWidth="1"/>
    <col min="1550" max="1550" width="16.28515625" style="814" customWidth="1"/>
    <col min="1551" max="1551" width="17.42578125" style="814" customWidth="1"/>
    <col min="1552" max="1552" width="17.28515625" style="814" customWidth="1"/>
    <col min="1553" max="1553" width="15.5703125" style="814" customWidth="1"/>
    <col min="1554" max="1554" width="15.28515625" style="814" customWidth="1"/>
    <col min="1555" max="1555" width="8.5703125" style="814" customWidth="1"/>
    <col min="1556" max="1792" width="9.140625" style="814"/>
    <col min="1793" max="1793" width="112" style="814" customWidth="1"/>
    <col min="1794" max="1794" width="19" style="814" customWidth="1"/>
    <col min="1795" max="1795" width="18.85546875" style="814" customWidth="1"/>
    <col min="1796" max="1796" width="19.140625" style="814" customWidth="1"/>
    <col min="1797" max="1797" width="18.5703125" style="814" customWidth="1"/>
    <col min="1798" max="1798" width="18.85546875" style="814" customWidth="1"/>
    <col min="1799" max="1799" width="18.140625" style="814" customWidth="1"/>
    <col min="1800" max="1800" width="17.28515625" style="814" customWidth="1"/>
    <col min="1801" max="1803" width="16.42578125" style="814" customWidth="1"/>
    <col min="1804" max="1804" width="16.5703125" style="814" customWidth="1"/>
    <col min="1805" max="1805" width="16.85546875" style="814" customWidth="1"/>
    <col min="1806" max="1806" width="16.28515625" style="814" customWidth="1"/>
    <col min="1807" max="1807" width="17.42578125" style="814" customWidth="1"/>
    <col min="1808" max="1808" width="17.28515625" style="814" customWidth="1"/>
    <col min="1809" max="1809" width="15.5703125" style="814" customWidth="1"/>
    <col min="1810" max="1810" width="15.28515625" style="814" customWidth="1"/>
    <col min="1811" max="1811" width="8.5703125" style="814" customWidth="1"/>
    <col min="1812" max="2048" width="9.140625" style="814"/>
    <col min="2049" max="2049" width="112" style="814" customWidth="1"/>
    <col min="2050" max="2050" width="19" style="814" customWidth="1"/>
    <col min="2051" max="2051" width="18.85546875" style="814" customWidth="1"/>
    <col min="2052" max="2052" width="19.140625" style="814" customWidth="1"/>
    <col min="2053" max="2053" width="18.5703125" style="814" customWidth="1"/>
    <col min="2054" max="2054" width="18.85546875" style="814" customWidth="1"/>
    <col min="2055" max="2055" width="18.140625" style="814" customWidth="1"/>
    <col min="2056" max="2056" width="17.28515625" style="814" customWidth="1"/>
    <col min="2057" max="2059" width="16.42578125" style="814" customWidth="1"/>
    <col min="2060" max="2060" width="16.5703125" style="814" customWidth="1"/>
    <col min="2061" max="2061" width="16.85546875" style="814" customWidth="1"/>
    <col min="2062" max="2062" width="16.28515625" style="814" customWidth="1"/>
    <col min="2063" max="2063" width="17.42578125" style="814" customWidth="1"/>
    <col min="2064" max="2064" width="17.28515625" style="814" customWidth="1"/>
    <col min="2065" max="2065" width="15.5703125" style="814" customWidth="1"/>
    <col min="2066" max="2066" width="15.28515625" style="814" customWidth="1"/>
    <col min="2067" max="2067" width="8.5703125" style="814" customWidth="1"/>
    <col min="2068" max="2304" width="9.140625" style="814"/>
    <col min="2305" max="2305" width="112" style="814" customWidth="1"/>
    <col min="2306" max="2306" width="19" style="814" customWidth="1"/>
    <col min="2307" max="2307" width="18.85546875" style="814" customWidth="1"/>
    <col min="2308" max="2308" width="19.140625" style="814" customWidth="1"/>
    <col min="2309" max="2309" width="18.5703125" style="814" customWidth="1"/>
    <col min="2310" max="2310" width="18.85546875" style="814" customWidth="1"/>
    <col min="2311" max="2311" width="18.140625" style="814" customWidth="1"/>
    <col min="2312" max="2312" width="17.28515625" style="814" customWidth="1"/>
    <col min="2313" max="2315" width="16.42578125" style="814" customWidth="1"/>
    <col min="2316" max="2316" width="16.5703125" style="814" customWidth="1"/>
    <col min="2317" max="2317" width="16.85546875" style="814" customWidth="1"/>
    <col min="2318" max="2318" width="16.28515625" style="814" customWidth="1"/>
    <col min="2319" max="2319" width="17.42578125" style="814" customWidth="1"/>
    <col min="2320" max="2320" width="17.28515625" style="814" customWidth="1"/>
    <col min="2321" max="2321" width="15.5703125" style="814" customWidth="1"/>
    <col min="2322" max="2322" width="15.28515625" style="814" customWidth="1"/>
    <col min="2323" max="2323" width="8.5703125" style="814" customWidth="1"/>
    <col min="2324" max="2560" width="9.140625" style="814"/>
    <col min="2561" max="2561" width="112" style="814" customWidth="1"/>
    <col min="2562" max="2562" width="19" style="814" customWidth="1"/>
    <col min="2563" max="2563" width="18.85546875" style="814" customWidth="1"/>
    <col min="2564" max="2564" width="19.140625" style="814" customWidth="1"/>
    <col min="2565" max="2565" width="18.5703125" style="814" customWidth="1"/>
    <col min="2566" max="2566" width="18.85546875" style="814" customWidth="1"/>
    <col min="2567" max="2567" width="18.140625" style="814" customWidth="1"/>
    <col min="2568" max="2568" width="17.28515625" style="814" customWidth="1"/>
    <col min="2569" max="2571" width="16.42578125" style="814" customWidth="1"/>
    <col min="2572" max="2572" width="16.5703125" style="814" customWidth="1"/>
    <col min="2573" max="2573" width="16.85546875" style="814" customWidth="1"/>
    <col min="2574" max="2574" width="16.28515625" style="814" customWidth="1"/>
    <col min="2575" max="2575" width="17.42578125" style="814" customWidth="1"/>
    <col min="2576" max="2576" width="17.28515625" style="814" customWidth="1"/>
    <col min="2577" max="2577" width="15.5703125" style="814" customWidth="1"/>
    <col min="2578" max="2578" width="15.28515625" style="814" customWidth="1"/>
    <col min="2579" max="2579" width="8.5703125" style="814" customWidth="1"/>
    <col min="2580" max="2816" width="9.140625" style="814"/>
    <col min="2817" max="2817" width="112" style="814" customWidth="1"/>
    <col min="2818" max="2818" width="19" style="814" customWidth="1"/>
    <col min="2819" max="2819" width="18.85546875" style="814" customWidth="1"/>
    <col min="2820" max="2820" width="19.140625" style="814" customWidth="1"/>
    <col min="2821" max="2821" width="18.5703125" style="814" customWidth="1"/>
    <col min="2822" max="2822" width="18.85546875" style="814" customWidth="1"/>
    <col min="2823" max="2823" width="18.140625" style="814" customWidth="1"/>
    <col min="2824" max="2824" width="17.28515625" style="814" customWidth="1"/>
    <col min="2825" max="2827" width="16.42578125" style="814" customWidth="1"/>
    <col min="2828" max="2828" width="16.5703125" style="814" customWidth="1"/>
    <col min="2829" max="2829" width="16.85546875" style="814" customWidth="1"/>
    <col min="2830" max="2830" width="16.28515625" style="814" customWidth="1"/>
    <col min="2831" max="2831" width="17.42578125" style="814" customWidth="1"/>
    <col min="2832" max="2832" width="17.28515625" style="814" customWidth="1"/>
    <col min="2833" max="2833" width="15.5703125" style="814" customWidth="1"/>
    <col min="2834" max="2834" width="15.28515625" style="814" customWidth="1"/>
    <col min="2835" max="2835" width="8.5703125" style="814" customWidth="1"/>
    <col min="2836" max="3072" width="9.140625" style="814"/>
    <col min="3073" max="3073" width="112" style="814" customWidth="1"/>
    <col min="3074" max="3074" width="19" style="814" customWidth="1"/>
    <col min="3075" max="3075" width="18.85546875" style="814" customWidth="1"/>
    <col min="3076" max="3076" width="19.140625" style="814" customWidth="1"/>
    <col min="3077" max="3077" width="18.5703125" style="814" customWidth="1"/>
    <col min="3078" max="3078" width="18.85546875" style="814" customWidth="1"/>
    <col min="3079" max="3079" width="18.140625" style="814" customWidth="1"/>
    <col min="3080" max="3080" width="17.28515625" style="814" customWidth="1"/>
    <col min="3081" max="3083" width="16.42578125" style="814" customWidth="1"/>
    <col min="3084" max="3084" width="16.5703125" style="814" customWidth="1"/>
    <col min="3085" max="3085" width="16.85546875" style="814" customWidth="1"/>
    <col min="3086" max="3086" width="16.28515625" style="814" customWidth="1"/>
    <col min="3087" max="3087" width="17.42578125" style="814" customWidth="1"/>
    <col min="3088" max="3088" width="17.28515625" style="814" customWidth="1"/>
    <col min="3089" max="3089" width="15.5703125" style="814" customWidth="1"/>
    <col min="3090" max="3090" width="15.28515625" style="814" customWidth="1"/>
    <col min="3091" max="3091" width="8.5703125" style="814" customWidth="1"/>
    <col min="3092" max="3328" width="9.140625" style="814"/>
    <col min="3329" max="3329" width="112" style="814" customWidth="1"/>
    <col min="3330" max="3330" width="19" style="814" customWidth="1"/>
    <col min="3331" max="3331" width="18.85546875" style="814" customWidth="1"/>
    <col min="3332" max="3332" width="19.140625" style="814" customWidth="1"/>
    <col min="3333" max="3333" width="18.5703125" style="814" customWidth="1"/>
    <col min="3334" max="3334" width="18.85546875" style="814" customWidth="1"/>
    <col min="3335" max="3335" width="18.140625" style="814" customWidth="1"/>
    <col min="3336" max="3336" width="17.28515625" style="814" customWidth="1"/>
    <col min="3337" max="3339" width="16.42578125" style="814" customWidth="1"/>
    <col min="3340" max="3340" width="16.5703125" style="814" customWidth="1"/>
    <col min="3341" max="3341" width="16.85546875" style="814" customWidth="1"/>
    <col min="3342" max="3342" width="16.28515625" style="814" customWidth="1"/>
    <col min="3343" max="3343" width="17.42578125" style="814" customWidth="1"/>
    <col min="3344" max="3344" width="17.28515625" style="814" customWidth="1"/>
    <col min="3345" max="3345" width="15.5703125" style="814" customWidth="1"/>
    <col min="3346" max="3346" width="15.28515625" style="814" customWidth="1"/>
    <col min="3347" max="3347" width="8.5703125" style="814" customWidth="1"/>
    <col min="3348" max="3584" width="9.140625" style="814"/>
    <col min="3585" max="3585" width="112" style="814" customWidth="1"/>
    <col min="3586" max="3586" width="19" style="814" customWidth="1"/>
    <col min="3587" max="3587" width="18.85546875" style="814" customWidth="1"/>
    <col min="3588" max="3588" width="19.140625" style="814" customWidth="1"/>
    <col min="3589" max="3589" width="18.5703125" style="814" customWidth="1"/>
    <col min="3590" max="3590" width="18.85546875" style="814" customWidth="1"/>
    <col min="3591" max="3591" width="18.140625" style="814" customWidth="1"/>
    <col min="3592" max="3592" width="17.28515625" style="814" customWidth="1"/>
    <col min="3593" max="3595" width="16.42578125" style="814" customWidth="1"/>
    <col min="3596" max="3596" width="16.5703125" style="814" customWidth="1"/>
    <col min="3597" max="3597" width="16.85546875" style="814" customWidth="1"/>
    <col min="3598" max="3598" width="16.28515625" style="814" customWidth="1"/>
    <col min="3599" max="3599" width="17.42578125" style="814" customWidth="1"/>
    <col min="3600" max="3600" width="17.28515625" style="814" customWidth="1"/>
    <col min="3601" max="3601" width="15.5703125" style="814" customWidth="1"/>
    <col min="3602" max="3602" width="15.28515625" style="814" customWidth="1"/>
    <col min="3603" max="3603" width="8.5703125" style="814" customWidth="1"/>
    <col min="3604" max="3840" width="9.140625" style="814"/>
    <col min="3841" max="3841" width="112" style="814" customWidth="1"/>
    <col min="3842" max="3842" width="19" style="814" customWidth="1"/>
    <col min="3843" max="3843" width="18.85546875" style="814" customWidth="1"/>
    <col min="3844" max="3844" width="19.140625" style="814" customWidth="1"/>
    <col min="3845" max="3845" width="18.5703125" style="814" customWidth="1"/>
    <col min="3846" max="3846" width="18.85546875" style="814" customWidth="1"/>
    <col min="3847" max="3847" width="18.140625" style="814" customWidth="1"/>
    <col min="3848" max="3848" width="17.28515625" style="814" customWidth="1"/>
    <col min="3849" max="3851" width="16.42578125" style="814" customWidth="1"/>
    <col min="3852" max="3852" width="16.5703125" style="814" customWidth="1"/>
    <col min="3853" max="3853" width="16.85546875" style="814" customWidth="1"/>
    <col min="3854" max="3854" width="16.28515625" style="814" customWidth="1"/>
    <col min="3855" max="3855" width="17.42578125" style="814" customWidth="1"/>
    <col min="3856" max="3856" width="17.28515625" style="814" customWidth="1"/>
    <col min="3857" max="3857" width="15.5703125" style="814" customWidth="1"/>
    <col min="3858" max="3858" width="15.28515625" style="814" customWidth="1"/>
    <col min="3859" max="3859" width="8.5703125" style="814" customWidth="1"/>
    <col min="3860" max="4096" width="9.140625" style="814"/>
    <col min="4097" max="4097" width="112" style="814" customWidth="1"/>
    <col min="4098" max="4098" width="19" style="814" customWidth="1"/>
    <col min="4099" max="4099" width="18.85546875" style="814" customWidth="1"/>
    <col min="4100" max="4100" width="19.140625" style="814" customWidth="1"/>
    <col min="4101" max="4101" width="18.5703125" style="814" customWidth="1"/>
    <col min="4102" max="4102" width="18.85546875" style="814" customWidth="1"/>
    <col min="4103" max="4103" width="18.140625" style="814" customWidth="1"/>
    <col min="4104" max="4104" width="17.28515625" style="814" customWidth="1"/>
    <col min="4105" max="4107" width="16.42578125" style="814" customWidth="1"/>
    <col min="4108" max="4108" width="16.5703125" style="814" customWidth="1"/>
    <col min="4109" max="4109" width="16.85546875" style="814" customWidth="1"/>
    <col min="4110" max="4110" width="16.28515625" style="814" customWidth="1"/>
    <col min="4111" max="4111" width="17.42578125" style="814" customWidth="1"/>
    <col min="4112" max="4112" width="17.28515625" style="814" customWidth="1"/>
    <col min="4113" max="4113" width="15.5703125" style="814" customWidth="1"/>
    <col min="4114" max="4114" width="15.28515625" style="814" customWidth="1"/>
    <col min="4115" max="4115" width="8.5703125" style="814" customWidth="1"/>
    <col min="4116" max="4352" width="9.140625" style="814"/>
    <col min="4353" max="4353" width="112" style="814" customWidth="1"/>
    <col min="4354" max="4354" width="19" style="814" customWidth="1"/>
    <col min="4355" max="4355" width="18.85546875" style="814" customWidth="1"/>
    <col min="4356" max="4356" width="19.140625" style="814" customWidth="1"/>
    <col min="4357" max="4357" width="18.5703125" style="814" customWidth="1"/>
    <col min="4358" max="4358" width="18.85546875" style="814" customWidth="1"/>
    <col min="4359" max="4359" width="18.140625" style="814" customWidth="1"/>
    <col min="4360" max="4360" width="17.28515625" style="814" customWidth="1"/>
    <col min="4361" max="4363" width="16.42578125" style="814" customWidth="1"/>
    <col min="4364" max="4364" width="16.5703125" style="814" customWidth="1"/>
    <col min="4365" max="4365" width="16.85546875" style="814" customWidth="1"/>
    <col min="4366" max="4366" width="16.28515625" style="814" customWidth="1"/>
    <col min="4367" max="4367" width="17.42578125" style="814" customWidth="1"/>
    <col min="4368" max="4368" width="17.28515625" style="814" customWidth="1"/>
    <col min="4369" max="4369" width="15.5703125" style="814" customWidth="1"/>
    <col min="4370" max="4370" width="15.28515625" style="814" customWidth="1"/>
    <col min="4371" max="4371" width="8.5703125" style="814" customWidth="1"/>
    <col min="4372" max="4608" width="9.140625" style="814"/>
    <col min="4609" max="4609" width="112" style="814" customWidth="1"/>
    <col min="4610" max="4610" width="19" style="814" customWidth="1"/>
    <col min="4611" max="4611" width="18.85546875" style="814" customWidth="1"/>
    <col min="4612" max="4612" width="19.140625" style="814" customWidth="1"/>
    <col min="4613" max="4613" width="18.5703125" style="814" customWidth="1"/>
    <col min="4614" max="4614" width="18.85546875" style="814" customWidth="1"/>
    <col min="4615" max="4615" width="18.140625" style="814" customWidth="1"/>
    <col min="4616" max="4616" width="17.28515625" style="814" customWidth="1"/>
    <col min="4617" max="4619" width="16.42578125" style="814" customWidth="1"/>
    <col min="4620" max="4620" width="16.5703125" style="814" customWidth="1"/>
    <col min="4621" max="4621" width="16.85546875" style="814" customWidth="1"/>
    <col min="4622" max="4622" width="16.28515625" style="814" customWidth="1"/>
    <col min="4623" max="4623" width="17.42578125" style="814" customWidth="1"/>
    <col min="4624" max="4624" width="17.28515625" style="814" customWidth="1"/>
    <col min="4625" max="4625" width="15.5703125" style="814" customWidth="1"/>
    <col min="4626" max="4626" width="15.28515625" style="814" customWidth="1"/>
    <col min="4627" max="4627" width="8.5703125" style="814" customWidth="1"/>
    <col min="4628" max="4864" width="9.140625" style="814"/>
    <col min="4865" max="4865" width="112" style="814" customWidth="1"/>
    <col min="4866" max="4866" width="19" style="814" customWidth="1"/>
    <col min="4867" max="4867" width="18.85546875" style="814" customWidth="1"/>
    <col min="4868" max="4868" width="19.140625" style="814" customWidth="1"/>
    <col min="4869" max="4869" width="18.5703125" style="814" customWidth="1"/>
    <col min="4870" max="4870" width="18.85546875" style="814" customWidth="1"/>
    <col min="4871" max="4871" width="18.140625" style="814" customWidth="1"/>
    <col min="4872" max="4872" width="17.28515625" style="814" customWidth="1"/>
    <col min="4873" max="4875" width="16.42578125" style="814" customWidth="1"/>
    <col min="4876" max="4876" width="16.5703125" style="814" customWidth="1"/>
    <col min="4877" max="4877" width="16.85546875" style="814" customWidth="1"/>
    <col min="4878" max="4878" width="16.28515625" style="814" customWidth="1"/>
    <col min="4879" max="4879" width="17.42578125" style="814" customWidth="1"/>
    <col min="4880" max="4880" width="17.28515625" style="814" customWidth="1"/>
    <col min="4881" max="4881" width="15.5703125" style="814" customWidth="1"/>
    <col min="4882" max="4882" width="15.28515625" style="814" customWidth="1"/>
    <col min="4883" max="4883" width="8.5703125" style="814" customWidth="1"/>
    <col min="4884" max="5120" width="9.140625" style="814"/>
    <col min="5121" max="5121" width="112" style="814" customWidth="1"/>
    <col min="5122" max="5122" width="19" style="814" customWidth="1"/>
    <col min="5123" max="5123" width="18.85546875" style="814" customWidth="1"/>
    <col min="5124" max="5124" width="19.140625" style="814" customWidth="1"/>
    <col min="5125" max="5125" width="18.5703125" style="814" customWidth="1"/>
    <col min="5126" max="5126" width="18.85546875" style="814" customWidth="1"/>
    <col min="5127" max="5127" width="18.140625" style="814" customWidth="1"/>
    <col min="5128" max="5128" width="17.28515625" style="814" customWidth="1"/>
    <col min="5129" max="5131" width="16.42578125" style="814" customWidth="1"/>
    <col min="5132" max="5132" width="16.5703125" style="814" customWidth="1"/>
    <col min="5133" max="5133" width="16.85546875" style="814" customWidth="1"/>
    <col min="5134" max="5134" width="16.28515625" style="814" customWidth="1"/>
    <col min="5135" max="5135" width="17.42578125" style="814" customWidth="1"/>
    <col min="5136" max="5136" width="17.28515625" style="814" customWidth="1"/>
    <col min="5137" max="5137" width="15.5703125" style="814" customWidth="1"/>
    <col min="5138" max="5138" width="15.28515625" style="814" customWidth="1"/>
    <col min="5139" max="5139" width="8.5703125" style="814" customWidth="1"/>
    <col min="5140" max="5376" width="9.140625" style="814"/>
    <col min="5377" max="5377" width="112" style="814" customWidth="1"/>
    <col min="5378" max="5378" width="19" style="814" customWidth="1"/>
    <col min="5379" max="5379" width="18.85546875" style="814" customWidth="1"/>
    <col min="5380" max="5380" width="19.140625" style="814" customWidth="1"/>
    <col min="5381" max="5381" width="18.5703125" style="814" customWidth="1"/>
    <col min="5382" max="5382" width="18.85546875" style="814" customWidth="1"/>
    <col min="5383" max="5383" width="18.140625" style="814" customWidth="1"/>
    <col min="5384" max="5384" width="17.28515625" style="814" customWidth="1"/>
    <col min="5385" max="5387" width="16.42578125" style="814" customWidth="1"/>
    <col min="5388" max="5388" width="16.5703125" style="814" customWidth="1"/>
    <col min="5389" max="5389" width="16.85546875" style="814" customWidth="1"/>
    <col min="5390" max="5390" width="16.28515625" style="814" customWidth="1"/>
    <col min="5391" max="5391" width="17.42578125" style="814" customWidth="1"/>
    <col min="5392" max="5392" width="17.28515625" style="814" customWidth="1"/>
    <col min="5393" max="5393" width="15.5703125" style="814" customWidth="1"/>
    <col min="5394" max="5394" width="15.28515625" style="814" customWidth="1"/>
    <col min="5395" max="5395" width="8.5703125" style="814" customWidth="1"/>
    <col min="5396" max="5632" width="9.140625" style="814"/>
    <col min="5633" max="5633" width="112" style="814" customWidth="1"/>
    <col min="5634" max="5634" width="19" style="814" customWidth="1"/>
    <col min="5635" max="5635" width="18.85546875" style="814" customWidth="1"/>
    <col min="5636" max="5636" width="19.140625" style="814" customWidth="1"/>
    <col min="5637" max="5637" width="18.5703125" style="814" customWidth="1"/>
    <col min="5638" max="5638" width="18.85546875" style="814" customWidth="1"/>
    <col min="5639" max="5639" width="18.140625" style="814" customWidth="1"/>
    <col min="5640" max="5640" width="17.28515625" style="814" customWidth="1"/>
    <col min="5641" max="5643" width="16.42578125" style="814" customWidth="1"/>
    <col min="5644" max="5644" width="16.5703125" style="814" customWidth="1"/>
    <col min="5645" max="5645" width="16.85546875" style="814" customWidth="1"/>
    <col min="5646" max="5646" width="16.28515625" style="814" customWidth="1"/>
    <col min="5647" max="5647" width="17.42578125" style="814" customWidth="1"/>
    <col min="5648" max="5648" width="17.28515625" style="814" customWidth="1"/>
    <col min="5649" max="5649" width="15.5703125" style="814" customWidth="1"/>
    <col min="5650" max="5650" width="15.28515625" style="814" customWidth="1"/>
    <col min="5651" max="5651" width="8.5703125" style="814" customWidth="1"/>
    <col min="5652" max="5888" width="9.140625" style="814"/>
    <col min="5889" max="5889" width="112" style="814" customWidth="1"/>
    <col min="5890" max="5890" width="19" style="814" customWidth="1"/>
    <col min="5891" max="5891" width="18.85546875" style="814" customWidth="1"/>
    <col min="5892" max="5892" width="19.140625" style="814" customWidth="1"/>
    <col min="5893" max="5893" width="18.5703125" style="814" customWidth="1"/>
    <col min="5894" max="5894" width="18.85546875" style="814" customWidth="1"/>
    <col min="5895" max="5895" width="18.140625" style="814" customWidth="1"/>
    <col min="5896" max="5896" width="17.28515625" style="814" customWidth="1"/>
    <col min="5897" max="5899" width="16.42578125" style="814" customWidth="1"/>
    <col min="5900" max="5900" width="16.5703125" style="814" customWidth="1"/>
    <col min="5901" max="5901" width="16.85546875" style="814" customWidth="1"/>
    <col min="5902" max="5902" width="16.28515625" style="814" customWidth="1"/>
    <col min="5903" max="5903" width="17.42578125" style="814" customWidth="1"/>
    <col min="5904" max="5904" width="17.28515625" style="814" customWidth="1"/>
    <col min="5905" max="5905" width="15.5703125" style="814" customWidth="1"/>
    <col min="5906" max="5906" width="15.28515625" style="814" customWidth="1"/>
    <col min="5907" max="5907" width="8.5703125" style="814" customWidth="1"/>
    <col min="5908" max="6144" width="9.140625" style="814"/>
    <col min="6145" max="6145" width="112" style="814" customWidth="1"/>
    <col min="6146" max="6146" width="19" style="814" customWidth="1"/>
    <col min="6147" max="6147" width="18.85546875" style="814" customWidth="1"/>
    <col min="6148" max="6148" width="19.140625" style="814" customWidth="1"/>
    <col min="6149" max="6149" width="18.5703125" style="814" customWidth="1"/>
    <col min="6150" max="6150" width="18.85546875" style="814" customWidth="1"/>
    <col min="6151" max="6151" width="18.140625" style="814" customWidth="1"/>
    <col min="6152" max="6152" width="17.28515625" style="814" customWidth="1"/>
    <col min="6153" max="6155" width="16.42578125" style="814" customWidth="1"/>
    <col min="6156" max="6156" width="16.5703125" style="814" customWidth="1"/>
    <col min="6157" max="6157" width="16.85546875" style="814" customWidth="1"/>
    <col min="6158" max="6158" width="16.28515625" style="814" customWidth="1"/>
    <col min="6159" max="6159" width="17.42578125" style="814" customWidth="1"/>
    <col min="6160" max="6160" width="17.28515625" style="814" customWidth="1"/>
    <col min="6161" max="6161" width="15.5703125" style="814" customWidth="1"/>
    <col min="6162" max="6162" width="15.28515625" style="814" customWidth="1"/>
    <col min="6163" max="6163" width="8.5703125" style="814" customWidth="1"/>
    <col min="6164" max="6400" width="9.140625" style="814"/>
    <col min="6401" max="6401" width="112" style="814" customWidth="1"/>
    <col min="6402" max="6402" width="19" style="814" customWidth="1"/>
    <col min="6403" max="6403" width="18.85546875" style="814" customWidth="1"/>
    <col min="6404" max="6404" width="19.140625" style="814" customWidth="1"/>
    <col min="6405" max="6405" width="18.5703125" style="814" customWidth="1"/>
    <col min="6406" max="6406" width="18.85546875" style="814" customWidth="1"/>
    <col min="6407" max="6407" width="18.140625" style="814" customWidth="1"/>
    <col min="6408" max="6408" width="17.28515625" style="814" customWidth="1"/>
    <col min="6409" max="6411" width="16.42578125" style="814" customWidth="1"/>
    <col min="6412" max="6412" width="16.5703125" style="814" customWidth="1"/>
    <col min="6413" max="6413" width="16.85546875" style="814" customWidth="1"/>
    <col min="6414" max="6414" width="16.28515625" style="814" customWidth="1"/>
    <col min="6415" max="6415" width="17.42578125" style="814" customWidth="1"/>
    <col min="6416" max="6416" width="17.28515625" style="814" customWidth="1"/>
    <col min="6417" max="6417" width="15.5703125" style="814" customWidth="1"/>
    <col min="6418" max="6418" width="15.28515625" style="814" customWidth="1"/>
    <col min="6419" max="6419" width="8.5703125" style="814" customWidth="1"/>
    <col min="6420" max="6656" width="9.140625" style="814"/>
    <col min="6657" max="6657" width="112" style="814" customWidth="1"/>
    <col min="6658" max="6658" width="19" style="814" customWidth="1"/>
    <col min="6659" max="6659" width="18.85546875" style="814" customWidth="1"/>
    <col min="6660" max="6660" width="19.140625" style="814" customWidth="1"/>
    <col min="6661" max="6661" width="18.5703125" style="814" customWidth="1"/>
    <col min="6662" max="6662" width="18.85546875" style="814" customWidth="1"/>
    <col min="6663" max="6663" width="18.140625" style="814" customWidth="1"/>
    <col min="6664" max="6664" width="17.28515625" style="814" customWidth="1"/>
    <col min="6665" max="6667" width="16.42578125" style="814" customWidth="1"/>
    <col min="6668" max="6668" width="16.5703125" style="814" customWidth="1"/>
    <col min="6669" max="6669" width="16.85546875" style="814" customWidth="1"/>
    <col min="6670" max="6670" width="16.28515625" style="814" customWidth="1"/>
    <col min="6671" max="6671" width="17.42578125" style="814" customWidth="1"/>
    <col min="6672" max="6672" width="17.28515625" style="814" customWidth="1"/>
    <col min="6673" max="6673" width="15.5703125" style="814" customWidth="1"/>
    <col min="6674" max="6674" width="15.28515625" style="814" customWidth="1"/>
    <col min="6675" max="6675" width="8.5703125" style="814" customWidth="1"/>
    <col min="6676" max="6912" width="9.140625" style="814"/>
    <col min="6913" max="6913" width="112" style="814" customWidth="1"/>
    <col min="6914" max="6914" width="19" style="814" customWidth="1"/>
    <col min="6915" max="6915" width="18.85546875" style="814" customWidth="1"/>
    <col min="6916" max="6916" width="19.140625" style="814" customWidth="1"/>
    <col min="6917" max="6917" width="18.5703125" style="814" customWidth="1"/>
    <col min="6918" max="6918" width="18.85546875" style="814" customWidth="1"/>
    <col min="6919" max="6919" width="18.140625" style="814" customWidth="1"/>
    <col min="6920" max="6920" width="17.28515625" style="814" customWidth="1"/>
    <col min="6921" max="6923" width="16.42578125" style="814" customWidth="1"/>
    <col min="6924" max="6924" width="16.5703125" style="814" customWidth="1"/>
    <col min="6925" max="6925" width="16.85546875" style="814" customWidth="1"/>
    <col min="6926" max="6926" width="16.28515625" style="814" customWidth="1"/>
    <col min="6927" max="6927" width="17.42578125" style="814" customWidth="1"/>
    <col min="6928" max="6928" width="17.28515625" style="814" customWidth="1"/>
    <col min="6929" max="6929" width="15.5703125" style="814" customWidth="1"/>
    <col min="6930" max="6930" width="15.28515625" style="814" customWidth="1"/>
    <col min="6931" max="6931" width="8.5703125" style="814" customWidth="1"/>
    <col min="6932" max="7168" width="9.140625" style="814"/>
    <col min="7169" max="7169" width="112" style="814" customWidth="1"/>
    <col min="7170" max="7170" width="19" style="814" customWidth="1"/>
    <col min="7171" max="7171" width="18.85546875" style="814" customWidth="1"/>
    <col min="7172" max="7172" width="19.140625" style="814" customWidth="1"/>
    <col min="7173" max="7173" width="18.5703125" style="814" customWidth="1"/>
    <col min="7174" max="7174" width="18.85546875" style="814" customWidth="1"/>
    <col min="7175" max="7175" width="18.140625" style="814" customWidth="1"/>
    <col min="7176" max="7176" width="17.28515625" style="814" customWidth="1"/>
    <col min="7177" max="7179" width="16.42578125" style="814" customWidth="1"/>
    <col min="7180" max="7180" width="16.5703125" style="814" customWidth="1"/>
    <col min="7181" max="7181" width="16.85546875" style="814" customWidth="1"/>
    <col min="7182" max="7182" width="16.28515625" style="814" customWidth="1"/>
    <col min="7183" max="7183" width="17.42578125" style="814" customWidth="1"/>
    <col min="7184" max="7184" width="17.28515625" style="814" customWidth="1"/>
    <col min="7185" max="7185" width="15.5703125" style="814" customWidth="1"/>
    <col min="7186" max="7186" width="15.28515625" style="814" customWidth="1"/>
    <col min="7187" max="7187" width="8.5703125" style="814" customWidth="1"/>
    <col min="7188" max="7424" width="9.140625" style="814"/>
    <col min="7425" max="7425" width="112" style="814" customWidth="1"/>
    <col min="7426" max="7426" width="19" style="814" customWidth="1"/>
    <col min="7427" max="7427" width="18.85546875" style="814" customWidth="1"/>
    <col min="7428" max="7428" width="19.140625" style="814" customWidth="1"/>
    <col min="7429" max="7429" width="18.5703125" style="814" customWidth="1"/>
    <col min="7430" max="7430" width="18.85546875" style="814" customWidth="1"/>
    <col min="7431" max="7431" width="18.140625" style="814" customWidth="1"/>
    <col min="7432" max="7432" width="17.28515625" style="814" customWidth="1"/>
    <col min="7433" max="7435" width="16.42578125" style="814" customWidth="1"/>
    <col min="7436" max="7436" width="16.5703125" style="814" customWidth="1"/>
    <col min="7437" max="7437" width="16.85546875" style="814" customWidth="1"/>
    <col min="7438" max="7438" width="16.28515625" style="814" customWidth="1"/>
    <col min="7439" max="7439" width="17.42578125" style="814" customWidth="1"/>
    <col min="7440" max="7440" width="17.28515625" style="814" customWidth="1"/>
    <col min="7441" max="7441" width="15.5703125" style="814" customWidth="1"/>
    <col min="7442" max="7442" width="15.28515625" style="814" customWidth="1"/>
    <col min="7443" max="7443" width="8.5703125" style="814" customWidth="1"/>
    <col min="7444" max="7680" width="9.140625" style="814"/>
    <col min="7681" max="7681" width="112" style="814" customWidth="1"/>
    <col min="7682" max="7682" width="19" style="814" customWidth="1"/>
    <col min="7683" max="7683" width="18.85546875" style="814" customWidth="1"/>
    <col min="7684" max="7684" width="19.140625" style="814" customWidth="1"/>
    <col min="7685" max="7685" width="18.5703125" style="814" customWidth="1"/>
    <col min="7686" max="7686" width="18.85546875" style="814" customWidth="1"/>
    <col min="7687" max="7687" width="18.140625" style="814" customWidth="1"/>
    <col min="7688" max="7688" width="17.28515625" style="814" customWidth="1"/>
    <col min="7689" max="7691" width="16.42578125" style="814" customWidth="1"/>
    <col min="7692" max="7692" width="16.5703125" style="814" customWidth="1"/>
    <col min="7693" max="7693" width="16.85546875" style="814" customWidth="1"/>
    <col min="7694" max="7694" width="16.28515625" style="814" customWidth="1"/>
    <col min="7695" max="7695" width="17.42578125" style="814" customWidth="1"/>
    <col min="7696" max="7696" width="17.28515625" style="814" customWidth="1"/>
    <col min="7697" max="7697" width="15.5703125" style="814" customWidth="1"/>
    <col min="7698" max="7698" width="15.28515625" style="814" customWidth="1"/>
    <col min="7699" max="7699" width="8.5703125" style="814" customWidth="1"/>
    <col min="7700" max="7936" width="9.140625" style="814"/>
    <col min="7937" max="7937" width="112" style="814" customWidth="1"/>
    <col min="7938" max="7938" width="19" style="814" customWidth="1"/>
    <col min="7939" max="7939" width="18.85546875" style="814" customWidth="1"/>
    <col min="7940" max="7940" width="19.140625" style="814" customWidth="1"/>
    <col min="7941" max="7941" width="18.5703125" style="814" customWidth="1"/>
    <col min="7942" max="7942" width="18.85546875" style="814" customWidth="1"/>
    <col min="7943" max="7943" width="18.140625" style="814" customWidth="1"/>
    <col min="7944" max="7944" width="17.28515625" style="814" customWidth="1"/>
    <col min="7945" max="7947" width="16.42578125" style="814" customWidth="1"/>
    <col min="7948" max="7948" width="16.5703125" style="814" customWidth="1"/>
    <col min="7949" max="7949" width="16.85546875" style="814" customWidth="1"/>
    <col min="7950" max="7950" width="16.28515625" style="814" customWidth="1"/>
    <col min="7951" max="7951" width="17.42578125" style="814" customWidth="1"/>
    <col min="7952" max="7952" width="17.28515625" style="814" customWidth="1"/>
    <col min="7953" max="7953" width="15.5703125" style="814" customWidth="1"/>
    <col min="7954" max="7954" width="15.28515625" style="814" customWidth="1"/>
    <col min="7955" max="7955" width="8.5703125" style="814" customWidth="1"/>
    <col min="7956" max="8192" width="9.140625" style="814"/>
    <col min="8193" max="8193" width="112" style="814" customWidth="1"/>
    <col min="8194" max="8194" width="19" style="814" customWidth="1"/>
    <col min="8195" max="8195" width="18.85546875" style="814" customWidth="1"/>
    <col min="8196" max="8196" width="19.140625" style="814" customWidth="1"/>
    <col min="8197" max="8197" width="18.5703125" style="814" customWidth="1"/>
    <col min="8198" max="8198" width="18.85546875" style="814" customWidth="1"/>
    <col min="8199" max="8199" width="18.140625" style="814" customWidth="1"/>
    <col min="8200" max="8200" width="17.28515625" style="814" customWidth="1"/>
    <col min="8201" max="8203" width="16.42578125" style="814" customWidth="1"/>
    <col min="8204" max="8204" width="16.5703125" style="814" customWidth="1"/>
    <col min="8205" max="8205" width="16.85546875" style="814" customWidth="1"/>
    <col min="8206" max="8206" width="16.28515625" style="814" customWidth="1"/>
    <col min="8207" max="8207" width="17.42578125" style="814" customWidth="1"/>
    <col min="8208" max="8208" width="17.28515625" style="814" customWidth="1"/>
    <col min="8209" max="8209" width="15.5703125" style="814" customWidth="1"/>
    <col min="8210" max="8210" width="15.28515625" style="814" customWidth="1"/>
    <col min="8211" max="8211" width="8.5703125" style="814" customWidth="1"/>
    <col min="8212" max="8448" width="9.140625" style="814"/>
    <col min="8449" max="8449" width="112" style="814" customWidth="1"/>
    <col min="8450" max="8450" width="19" style="814" customWidth="1"/>
    <col min="8451" max="8451" width="18.85546875" style="814" customWidth="1"/>
    <col min="8452" max="8452" width="19.140625" style="814" customWidth="1"/>
    <col min="8453" max="8453" width="18.5703125" style="814" customWidth="1"/>
    <col min="8454" max="8454" width="18.85546875" style="814" customWidth="1"/>
    <col min="8455" max="8455" width="18.140625" style="814" customWidth="1"/>
    <col min="8456" max="8456" width="17.28515625" style="814" customWidth="1"/>
    <col min="8457" max="8459" width="16.42578125" style="814" customWidth="1"/>
    <col min="8460" max="8460" width="16.5703125" style="814" customWidth="1"/>
    <col min="8461" max="8461" width="16.85546875" style="814" customWidth="1"/>
    <col min="8462" max="8462" width="16.28515625" style="814" customWidth="1"/>
    <col min="8463" max="8463" width="17.42578125" style="814" customWidth="1"/>
    <col min="8464" max="8464" width="17.28515625" style="814" customWidth="1"/>
    <col min="8465" max="8465" width="15.5703125" style="814" customWidth="1"/>
    <col min="8466" max="8466" width="15.28515625" style="814" customWidth="1"/>
    <col min="8467" max="8467" width="8.5703125" style="814" customWidth="1"/>
    <col min="8468" max="8704" width="9.140625" style="814"/>
    <col min="8705" max="8705" width="112" style="814" customWidth="1"/>
    <col min="8706" max="8706" width="19" style="814" customWidth="1"/>
    <col min="8707" max="8707" width="18.85546875" style="814" customWidth="1"/>
    <col min="8708" max="8708" width="19.140625" style="814" customWidth="1"/>
    <col min="8709" max="8709" width="18.5703125" style="814" customWidth="1"/>
    <col min="8710" max="8710" width="18.85546875" style="814" customWidth="1"/>
    <col min="8711" max="8711" width="18.140625" style="814" customWidth="1"/>
    <col min="8712" max="8712" width="17.28515625" style="814" customWidth="1"/>
    <col min="8713" max="8715" width="16.42578125" style="814" customWidth="1"/>
    <col min="8716" max="8716" width="16.5703125" style="814" customWidth="1"/>
    <col min="8717" max="8717" width="16.85546875" style="814" customWidth="1"/>
    <col min="8718" max="8718" width="16.28515625" style="814" customWidth="1"/>
    <col min="8719" max="8719" width="17.42578125" style="814" customWidth="1"/>
    <col min="8720" max="8720" width="17.28515625" style="814" customWidth="1"/>
    <col min="8721" max="8721" width="15.5703125" style="814" customWidth="1"/>
    <col min="8722" max="8722" width="15.28515625" style="814" customWidth="1"/>
    <col min="8723" max="8723" width="8.5703125" style="814" customWidth="1"/>
    <col min="8724" max="8960" width="9.140625" style="814"/>
    <col min="8961" max="8961" width="112" style="814" customWidth="1"/>
    <col min="8962" max="8962" width="19" style="814" customWidth="1"/>
    <col min="8963" max="8963" width="18.85546875" style="814" customWidth="1"/>
    <col min="8964" max="8964" width="19.140625" style="814" customWidth="1"/>
    <col min="8965" max="8965" width="18.5703125" style="814" customWidth="1"/>
    <col min="8966" max="8966" width="18.85546875" style="814" customWidth="1"/>
    <col min="8967" max="8967" width="18.140625" style="814" customWidth="1"/>
    <col min="8968" max="8968" width="17.28515625" style="814" customWidth="1"/>
    <col min="8969" max="8971" width="16.42578125" style="814" customWidth="1"/>
    <col min="8972" max="8972" width="16.5703125" style="814" customWidth="1"/>
    <col min="8973" max="8973" width="16.85546875" style="814" customWidth="1"/>
    <col min="8974" max="8974" width="16.28515625" style="814" customWidth="1"/>
    <col min="8975" max="8975" width="17.42578125" style="814" customWidth="1"/>
    <col min="8976" max="8976" width="17.28515625" style="814" customWidth="1"/>
    <col min="8977" max="8977" width="15.5703125" style="814" customWidth="1"/>
    <col min="8978" max="8978" width="15.28515625" style="814" customWidth="1"/>
    <col min="8979" max="8979" width="8.5703125" style="814" customWidth="1"/>
    <col min="8980" max="9216" width="9.140625" style="814"/>
    <col min="9217" max="9217" width="112" style="814" customWidth="1"/>
    <col min="9218" max="9218" width="19" style="814" customWidth="1"/>
    <col min="9219" max="9219" width="18.85546875" style="814" customWidth="1"/>
    <col min="9220" max="9220" width="19.140625" style="814" customWidth="1"/>
    <col min="9221" max="9221" width="18.5703125" style="814" customWidth="1"/>
    <col min="9222" max="9222" width="18.85546875" style="814" customWidth="1"/>
    <col min="9223" max="9223" width="18.140625" style="814" customWidth="1"/>
    <col min="9224" max="9224" width="17.28515625" style="814" customWidth="1"/>
    <col min="9225" max="9227" width="16.42578125" style="814" customWidth="1"/>
    <col min="9228" max="9228" width="16.5703125" style="814" customWidth="1"/>
    <col min="9229" max="9229" width="16.85546875" style="814" customWidth="1"/>
    <col min="9230" max="9230" width="16.28515625" style="814" customWidth="1"/>
    <col min="9231" max="9231" width="17.42578125" style="814" customWidth="1"/>
    <col min="9232" max="9232" width="17.28515625" style="814" customWidth="1"/>
    <col min="9233" max="9233" width="15.5703125" style="814" customWidth="1"/>
    <col min="9234" max="9234" width="15.28515625" style="814" customWidth="1"/>
    <col min="9235" max="9235" width="8.5703125" style="814" customWidth="1"/>
    <col min="9236" max="9472" width="9.140625" style="814"/>
    <col min="9473" max="9473" width="112" style="814" customWidth="1"/>
    <col min="9474" max="9474" width="19" style="814" customWidth="1"/>
    <col min="9475" max="9475" width="18.85546875" style="814" customWidth="1"/>
    <col min="9476" max="9476" width="19.140625" style="814" customWidth="1"/>
    <col min="9477" max="9477" width="18.5703125" style="814" customWidth="1"/>
    <col min="9478" max="9478" width="18.85546875" style="814" customWidth="1"/>
    <col min="9479" max="9479" width="18.140625" style="814" customWidth="1"/>
    <col min="9480" max="9480" width="17.28515625" style="814" customWidth="1"/>
    <col min="9481" max="9483" width="16.42578125" style="814" customWidth="1"/>
    <col min="9484" max="9484" width="16.5703125" style="814" customWidth="1"/>
    <col min="9485" max="9485" width="16.85546875" style="814" customWidth="1"/>
    <col min="9486" max="9486" width="16.28515625" style="814" customWidth="1"/>
    <col min="9487" max="9487" width="17.42578125" style="814" customWidth="1"/>
    <col min="9488" max="9488" width="17.28515625" style="814" customWidth="1"/>
    <col min="9489" max="9489" width="15.5703125" style="814" customWidth="1"/>
    <col min="9490" max="9490" width="15.28515625" style="814" customWidth="1"/>
    <col min="9491" max="9491" width="8.5703125" style="814" customWidth="1"/>
    <col min="9492" max="9728" width="9.140625" style="814"/>
    <col min="9729" max="9729" width="112" style="814" customWidth="1"/>
    <col min="9730" max="9730" width="19" style="814" customWidth="1"/>
    <col min="9731" max="9731" width="18.85546875" style="814" customWidth="1"/>
    <col min="9732" max="9732" width="19.140625" style="814" customWidth="1"/>
    <col min="9733" max="9733" width="18.5703125" style="814" customWidth="1"/>
    <col min="9734" max="9734" width="18.85546875" style="814" customWidth="1"/>
    <col min="9735" max="9735" width="18.140625" style="814" customWidth="1"/>
    <col min="9736" max="9736" width="17.28515625" style="814" customWidth="1"/>
    <col min="9737" max="9739" width="16.42578125" style="814" customWidth="1"/>
    <col min="9740" max="9740" width="16.5703125" style="814" customWidth="1"/>
    <col min="9741" max="9741" width="16.85546875" style="814" customWidth="1"/>
    <col min="9742" max="9742" width="16.28515625" style="814" customWidth="1"/>
    <col min="9743" max="9743" width="17.42578125" style="814" customWidth="1"/>
    <col min="9744" max="9744" width="17.28515625" style="814" customWidth="1"/>
    <col min="9745" max="9745" width="15.5703125" style="814" customWidth="1"/>
    <col min="9746" max="9746" width="15.28515625" style="814" customWidth="1"/>
    <col min="9747" max="9747" width="8.5703125" style="814" customWidth="1"/>
    <col min="9748" max="9984" width="9.140625" style="814"/>
    <col min="9985" max="9985" width="112" style="814" customWidth="1"/>
    <col min="9986" max="9986" width="19" style="814" customWidth="1"/>
    <col min="9987" max="9987" width="18.85546875" style="814" customWidth="1"/>
    <col min="9988" max="9988" width="19.140625" style="814" customWidth="1"/>
    <col min="9989" max="9989" width="18.5703125" style="814" customWidth="1"/>
    <col min="9990" max="9990" width="18.85546875" style="814" customWidth="1"/>
    <col min="9991" max="9991" width="18.140625" style="814" customWidth="1"/>
    <col min="9992" max="9992" width="17.28515625" style="814" customWidth="1"/>
    <col min="9993" max="9995" width="16.42578125" style="814" customWidth="1"/>
    <col min="9996" max="9996" width="16.5703125" style="814" customWidth="1"/>
    <col min="9997" max="9997" width="16.85546875" style="814" customWidth="1"/>
    <col min="9998" max="9998" width="16.28515625" style="814" customWidth="1"/>
    <col min="9999" max="9999" width="17.42578125" style="814" customWidth="1"/>
    <col min="10000" max="10000" width="17.28515625" style="814" customWidth="1"/>
    <col min="10001" max="10001" width="15.5703125" style="814" customWidth="1"/>
    <col min="10002" max="10002" width="15.28515625" style="814" customWidth="1"/>
    <col min="10003" max="10003" width="8.5703125" style="814" customWidth="1"/>
    <col min="10004" max="10240" width="9.140625" style="814"/>
    <col min="10241" max="10241" width="112" style="814" customWidth="1"/>
    <col min="10242" max="10242" width="19" style="814" customWidth="1"/>
    <col min="10243" max="10243" width="18.85546875" style="814" customWidth="1"/>
    <col min="10244" max="10244" width="19.140625" style="814" customWidth="1"/>
    <col min="10245" max="10245" width="18.5703125" style="814" customWidth="1"/>
    <col min="10246" max="10246" width="18.85546875" style="814" customWidth="1"/>
    <col min="10247" max="10247" width="18.140625" style="814" customWidth="1"/>
    <col min="10248" max="10248" width="17.28515625" style="814" customWidth="1"/>
    <col min="10249" max="10251" width="16.42578125" style="814" customWidth="1"/>
    <col min="10252" max="10252" width="16.5703125" style="814" customWidth="1"/>
    <col min="10253" max="10253" width="16.85546875" style="814" customWidth="1"/>
    <col min="10254" max="10254" width="16.28515625" style="814" customWidth="1"/>
    <col min="10255" max="10255" width="17.42578125" style="814" customWidth="1"/>
    <col min="10256" max="10256" width="17.28515625" style="814" customWidth="1"/>
    <col min="10257" max="10257" width="15.5703125" style="814" customWidth="1"/>
    <col min="10258" max="10258" width="15.28515625" style="814" customWidth="1"/>
    <col min="10259" max="10259" width="8.5703125" style="814" customWidth="1"/>
    <col min="10260" max="10496" width="9.140625" style="814"/>
    <col min="10497" max="10497" width="112" style="814" customWidth="1"/>
    <col min="10498" max="10498" width="19" style="814" customWidth="1"/>
    <col min="10499" max="10499" width="18.85546875" style="814" customWidth="1"/>
    <col min="10500" max="10500" width="19.140625" style="814" customWidth="1"/>
    <col min="10501" max="10501" width="18.5703125" style="814" customWidth="1"/>
    <col min="10502" max="10502" width="18.85546875" style="814" customWidth="1"/>
    <col min="10503" max="10503" width="18.140625" style="814" customWidth="1"/>
    <col min="10504" max="10504" width="17.28515625" style="814" customWidth="1"/>
    <col min="10505" max="10507" width="16.42578125" style="814" customWidth="1"/>
    <col min="10508" max="10508" width="16.5703125" style="814" customWidth="1"/>
    <col min="10509" max="10509" width="16.85546875" style="814" customWidth="1"/>
    <col min="10510" max="10510" width="16.28515625" style="814" customWidth="1"/>
    <col min="10511" max="10511" width="17.42578125" style="814" customWidth="1"/>
    <col min="10512" max="10512" width="17.28515625" style="814" customWidth="1"/>
    <col min="10513" max="10513" width="15.5703125" style="814" customWidth="1"/>
    <col min="10514" max="10514" width="15.28515625" style="814" customWidth="1"/>
    <col min="10515" max="10515" width="8.5703125" style="814" customWidth="1"/>
    <col min="10516" max="10752" width="9.140625" style="814"/>
    <col min="10753" max="10753" width="112" style="814" customWidth="1"/>
    <col min="10754" max="10754" width="19" style="814" customWidth="1"/>
    <col min="10755" max="10755" width="18.85546875" style="814" customWidth="1"/>
    <col min="10756" max="10756" width="19.140625" style="814" customWidth="1"/>
    <col min="10757" max="10757" width="18.5703125" style="814" customWidth="1"/>
    <col min="10758" max="10758" width="18.85546875" style="814" customWidth="1"/>
    <col min="10759" max="10759" width="18.140625" style="814" customWidth="1"/>
    <col min="10760" max="10760" width="17.28515625" style="814" customWidth="1"/>
    <col min="10761" max="10763" width="16.42578125" style="814" customWidth="1"/>
    <col min="10764" max="10764" width="16.5703125" style="814" customWidth="1"/>
    <col min="10765" max="10765" width="16.85546875" style="814" customWidth="1"/>
    <col min="10766" max="10766" width="16.28515625" style="814" customWidth="1"/>
    <col min="10767" max="10767" width="17.42578125" style="814" customWidth="1"/>
    <col min="10768" max="10768" width="17.28515625" style="814" customWidth="1"/>
    <col min="10769" max="10769" width="15.5703125" style="814" customWidth="1"/>
    <col min="10770" max="10770" width="15.28515625" style="814" customWidth="1"/>
    <col min="10771" max="10771" width="8.5703125" style="814" customWidth="1"/>
    <col min="10772" max="11008" width="9.140625" style="814"/>
    <col min="11009" max="11009" width="112" style="814" customWidth="1"/>
    <col min="11010" max="11010" width="19" style="814" customWidth="1"/>
    <col min="11011" max="11011" width="18.85546875" style="814" customWidth="1"/>
    <col min="11012" max="11012" width="19.140625" style="814" customWidth="1"/>
    <col min="11013" max="11013" width="18.5703125" style="814" customWidth="1"/>
    <col min="11014" max="11014" width="18.85546875" style="814" customWidth="1"/>
    <col min="11015" max="11015" width="18.140625" style="814" customWidth="1"/>
    <col min="11016" max="11016" width="17.28515625" style="814" customWidth="1"/>
    <col min="11017" max="11019" width="16.42578125" style="814" customWidth="1"/>
    <col min="11020" max="11020" width="16.5703125" style="814" customWidth="1"/>
    <col min="11021" max="11021" width="16.85546875" style="814" customWidth="1"/>
    <col min="11022" max="11022" width="16.28515625" style="814" customWidth="1"/>
    <col min="11023" max="11023" width="17.42578125" style="814" customWidth="1"/>
    <col min="11024" max="11024" width="17.28515625" style="814" customWidth="1"/>
    <col min="11025" max="11025" width="15.5703125" style="814" customWidth="1"/>
    <col min="11026" max="11026" width="15.28515625" style="814" customWidth="1"/>
    <col min="11027" max="11027" width="8.5703125" style="814" customWidth="1"/>
    <col min="11028" max="11264" width="9.140625" style="814"/>
    <col min="11265" max="11265" width="112" style="814" customWidth="1"/>
    <col min="11266" max="11266" width="19" style="814" customWidth="1"/>
    <col min="11267" max="11267" width="18.85546875" style="814" customWidth="1"/>
    <col min="11268" max="11268" width="19.140625" style="814" customWidth="1"/>
    <col min="11269" max="11269" width="18.5703125" style="814" customWidth="1"/>
    <col min="11270" max="11270" width="18.85546875" style="814" customWidth="1"/>
    <col min="11271" max="11271" width="18.140625" style="814" customWidth="1"/>
    <col min="11272" max="11272" width="17.28515625" style="814" customWidth="1"/>
    <col min="11273" max="11275" width="16.42578125" style="814" customWidth="1"/>
    <col min="11276" max="11276" width="16.5703125" style="814" customWidth="1"/>
    <col min="11277" max="11277" width="16.85546875" style="814" customWidth="1"/>
    <col min="11278" max="11278" width="16.28515625" style="814" customWidth="1"/>
    <col min="11279" max="11279" width="17.42578125" style="814" customWidth="1"/>
    <col min="11280" max="11280" width="17.28515625" style="814" customWidth="1"/>
    <col min="11281" max="11281" width="15.5703125" style="814" customWidth="1"/>
    <col min="11282" max="11282" width="15.28515625" style="814" customWidth="1"/>
    <col min="11283" max="11283" width="8.5703125" style="814" customWidth="1"/>
    <col min="11284" max="11520" width="9.140625" style="814"/>
    <col min="11521" max="11521" width="112" style="814" customWidth="1"/>
    <col min="11522" max="11522" width="19" style="814" customWidth="1"/>
    <col min="11523" max="11523" width="18.85546875" style="814" customWidth="1"/>
    <col min="11524" max="11524" width="19.140625" style="814" customWidth="1"/>
    <col min="11525" max="11525" width="18.5703125" style="814" customWidth="1"/>
    <col min="11526" max="11526" width="18.85546875" style="814" customWidth="1"/>
    <col min="11527" max="11527" width="18.140625" style="814" customWidth="1"/>
    <col min="11528" max="11528" width="17.28515625" style="814" customWidth="1"/>
    <col min="11529" max="11531" width="16.42578125" style="814" customWidth="1"/>
    <col min="11532" max="11532" width="16.5703125" style="814" customWidth="1"/>
    <col min="11533" max="11533" width="16.85546875" style="814" customWidth="1"/>
    <col min="11534" max="11534" width="16.28515625" style="814" customWidth="1"/>
    <col min="11535" max="11535" width="17.42578125" style="814" customWidth="1"/>
    <col min="11536" max="11536" width="17.28515625" style="814" customWidth="1"/>
    <col min="11537" max="11537" width="15.5703125" style="814" customWidth="1"/>
    <col min="11538" max="11538" width="15.28515625" style="814" customWidth="1"/>
    <col min="11539" max="11539" width="8.5703125" style="814" customWidth="1"/>
    <col min="11540" max="11776" width="9.140625" style="814"/>
    <col min="11777" max="11777" width="112" style="814" customWidth="1"/>
    <col min="11778" max="11778" width="19" style="814" customWidth="1"/>
    <col min="11779" max="11779" width="18.85546875" style="814" customWidth="1"/>
    <col min="11780" max="11780" width="19.140625" style="814" customWidth="1"/>
    <col min="11781" max="11781" width="18.5703125" style="814" customWidth="1"/>
    <col min="11782" max="11782" width="18.85546875" style="814" customWidth="1"/>
    <col min="11783" max="11783" width="18.140625" style="814" customWidth="1"/>
    <col min="11784" max="11784" width="17.28515625" style="814" customWidth="1"/>
    <col min="11785" max="11787" width="16.42578125" style="814" customWidth="1"/>
    <col min="11788" max="11788" width="16.5703125" style="814" customWidth="1"/>
    <col min="11789" max="11789" width="16.85546875" style="814" customWidth="1"/>
    <col min="11790" max="11790" width="16.28515625" style="814" customWidth="1"/>
    <col min="11791" max="11791" width="17.42578125" style="814" customWidth="1"/>
    <col min="11792" max="11792" width="17.28515625" style="814" customWidth="1"/>
    <col min="11793" max="11793" width="15.5703125" style="814" customWidth="1"/>
    <col min="11794" max="11794" width="15.28515625" style="814" customWidth="1"/>
    <col min="11795" max="11795" width="8.5703125" style="814" customWidth="1"/>
    <col min="11796" max="12032" width="9.140625" style="814"/>
    <col min="12033" max="12033" width="112" style="814" customWidth="1"/>
    <col min="12034" max="12034" width="19" style="814" customWidth="1"/>
    <col min="12035" max="12035" width="18.85546875" style="814" customWidth="1"/>
    <col min="12036" max="12036" width="19.140625" style="814" customWidth="1"/>
    <col min="12037" max="12037" width="18.5703125" style="814" customWidth="1"/>
    <col min="12038" max="12038" width="18.85546875" style="814" customWidth="1"/>
    <col min="12039" max="12039" width="18.140625" style="814" customWidth="1"/>
    <col min="12040" max="12040" width="17.28515625" style="814" customWidth="1"/>
    <col min="12041" max="12043" width="16.42578125" style="814" customWidth="1"/>
    <col min="12044" max="12044" width="16.5703125" style="814" customWidth="1"/>
    <col min="12045" max="12045" width="16.85546875" style="814" customWidth="1"/>
    <col min="12046" max="12046" width="16.28515625" style="814" customWidth="1"/>
    <col min="12047" max="12047" width="17.42578125" style="814" customWidth="1"/>
    <col min="12048" max="12048" width="17.28515625" style="814" customWidth="1"/>
    <col min="12049" max="12049" width="15.5703125" style="814" customWidth="1"/>
    <col min="12050" max="12050" width="15.28515625" style="814" customWidth="1"/>
    <col min="12051" max="12051" width="8.5703125" style="814" customWidth="1"/>
    <col min="12052" max="12288" width="9.140625" style="814"/>
    <col min="12289" max="12289" width="112" style="814" customWidth="1"/>
    <col min="12290" max="12290" width="19" style="814" customWidth="1"/>
    <col min="12291" max="12291" width="18.85546875" style="814" customWidth="1"/>
    <col min="12292" max="12292" width="19.140625" style="814" customWidth="1"/>
    <col min="12293" max="12293" width="18.5703125" style="814" customWidth="1"/>
    <col min="12294" max="12294" width="18.85546875" style="814" customWidth="1"/>
    <col min="12295" max="12295" width="18.140625" style="814" customWidth="1"/>
    <col min="12296" max="12296" width="17.28515625" style="814" customWidth="1"/>
    <col min="12297" max="12299" width="16.42578125" style="814" customWidth="1"/>
    <col min="12300" max="12300" width="16.5703125" style="814" customWidth="1"/>
    <col min="12301" max="12301" width="16.85546875" style="814" customWidth="1"/>
    <col min="12302" max="12302" width="16.28515625" style="814" customWidth="1"/>
    <col min="12303" max="12303" width="17.42578125" style="814" customWidth="1"/>
    <col min="12304" max="12304" width="17.28515625" style="814" customWidth="1"/>
    <col min="12305" max="12305" width="15.5703125" style="814" customWidth="1"/>
    <col min="12306" max="12306" width="15.28515625" style="814" customWidth="1"/>
    <col min="12307" max="12307" width="8.5703125" style="814" customWidth="1"/>
    <col min="12308" max="12544" width="9.140625" style="814"/>
    <col min="12545" max="12545" width="112" style="814" customWidth="1"/>
    <col min="12546" max="12546" width="19" style="814" customWidth="1"/>
    <col min="12547" max="12547" width="18.85546875" style="814" customWidth="1"/>
    <col min="12548" max="12548" width="19.140625" style="814" customWidth="1"/>
    <col min="12549" max="12549" width="18.5703125" style="814" customWidth="1"/>
    <col min="12550" max="12550" width="18.85546875" style="814" customWidth="1"/>
    <col min="12551" max="12551" width="18.140625" style="814" customWidth="1"/>
    <col min="12552" max="12552" width="17.28515625" style="814" customWidth="1"/>
    <col min="12553" max="12555" width="16.42578125" style="814" customWidth="1"/>
    <col min="12556" max="12556" width="16.5703125" style="814" customWidth="1"/>
    <col min="12557" max="12557" width="16.85546875" style="814" customWidth="1"/>
    <col min="12558" max="12558" width="16.28515625" style="814" customWidth="1"/>
    <col min="12559" max="12559" width="17.42578125" style="814" customWidth="1"/>
    <col min="12560" max="12560" width="17.28515625" style="814" customWidth="1"/>
    <col min="12561" max="12561" width="15.5703125" style="814" customWidth="1"/>
    <col min="12562" max="12562" width="15.28515625" style="814" customWidth="1"/>
    <col min="12563" max="12563" width="8.5703125" style="814" customWidth="1"/>
    <col min="12564" max="12800" width="9.140625" style="814"/>
    <col min="12801" max="12801" width="112" style="814" customWidth="1"/>
    <col min="12802" max="12802" width="19" style="814" customWidth="1"/>
    <col min="12803" max="12803" width="18.85546875" style="814" customWidth="1"/>
    <col min="12804" max="12804" width="19.140625" style="814" customWidth="1"/>
    <col min="12805" max="12805" width="18.5703125" style="814" customWidth="1"/>
    <col min="12806" max="12806" width="18.85546875" style="814" customWidth="1"/>
    <col min="12807" max="12807" width="18.140625" style="814" customWidth="1"/>
    <col min="12808" max="12808" width="17.28515625" style="814" customWidth="1"/>
    <col min="12809" max="12811" width="16.42578125" style="814" customWidth="1"/>
    <col min="12812" max="12812" width="16.5703125" style="814" customWidth="1"/>
    <col min="12813" max="12813" width="16.85546875" style="814" customWidth="1"/>
    <col min="12814" max="12814" width="16.28515625" style="814" customWidth="1"/>
    <col min="12815" max="12815" width="17.42578125" style="814" customWidth="1"/>
    <col min="12816" max="12816" width="17.28515625" style="814" customWidth="1"/>
    <col min="12817" max="12817" width="15.5703125" style="814" customWidth="1"/>
    <col min="12818" max="12818" width="15.28515625" style="814" customWidth="1"/>
    <col min="12819" max="12819" width="8.5703125" style="814" customWidth="1"/>
    <col min="12820" max="13056" width="9.140625" style="814"/>
    <col min="13057" max="13057" width="112" style="814" customWidth="1"/>
    <col min="13058" max="13058" width="19" style="814" customWidth="1"/>
    <col min="13059" max="13059" width="18.85546875" style="814" customWidth="1"/>
    <col min="13060" max="13060" width="19.140625" style="814" customWidth="1"/>
    <col min="13061" max="13061" width="18.5703125" style="814" customWidth="1"/>
    <col min="13062" max="13062" width="18.85546875" style="814" customWidth="1"/>
    <col min="13063" max="13063" width="18.140625" style="814" customWidth="1"/>
    <col min="13064" max="13064" width="17.28515625" style="814" customWidth="1"/>
    <col min="13065" max="13067" width="16.42578125" style="814" customWidth="1"/>
    <col min="13068" max="13068" width="16.5703125" style="814" customWidth="1"/>
    <col min="13069" max="13069" width="16.85546875" style="814" customWidth="1"/>
    <col min="13070" max="13070" width="16.28515625" style="814" customWidth="1"/>
    <col min="13071" max="13071" width="17.42578125" style="814" customWidth="1"/>
    <col min="13072" max="13072" width="17.28515625" style="814" customWidth="1"/>
    <col min="13073" max="13073" width="15.5703125" style="814" customWidth="1"/>
    <col min="13074" max="13074" width="15.28515625" style="814" customWidth="1"/>
    <col min="13075" max="13075" width="8.5703125" style="814" customWidth="1"/>
    <col min="13076" max="13312" width="9.140625" style="814"/>
    <col min="13313" max="13313" width="112" style="814" customWidth="1"/>
    <col min="13314" max="13314" width="19" style="814" customWidth="1"/>
    <col min="13315" max="13315" width="18.85546875" style="814" customWidth="1"/>
    <col min="13316" max="13316" width="19.140625" style="814" customWidth="1"/>
    <col min="13317" max="13317" width="18.5703125" style="814" customWidth="1"/>
    <col min="13318" max="13318" width="18.85546875" style="814" customWidth="1"/>
    <col min="13319" max="13319" width="18.140625" style="814" customWidth="1"/>
    <col min="13320" max="13320" width="17.28515625" style="814" customWidth="1"/>
    <col min="13321" max="13323" width="16.42578125" style="814" customWidth="1"/>
    <col min="13324" max="13324" width="16.5703125" style="814" customWidth="1"/>
    <col min="13325" max="13325" width="16.85546875" style="814" customWidth="1"/>
    <col min="13326" max="13326" width="16.28515625" style="814" customWidth="1"/>
    <col min="13327" max="13327" width="17.42578125" style="814" customWidth="1"/>
    <col min="13328" max="13328" width="17.28515625" style="814" customWidth="1"/>
    <col min="13329" max="13329" width="15.5703125" style="814" customWidth="1"/>
    <col min="13330" max="13330" width="15.28515625" style="814" customWidth="1"/>
    <col min="13331" max="13331" width="8.5703125" style="814" customWidth="1"/>
    <col min="13332" max="13568" width="9.140625" style="814"/>
    <col min="13569" max="13569" width="112" style="814" customWidth="1"/>
    <col min="13570" max="13570" width="19" style="814" customWidth="1"/>
    <col min="13571" max="13571" width="18.85546875" style="814" customWidth="1"/>
    <col min="13572" max="13572" width="19.140625" style="814" customWidth="1"/>
    <col min="13573" max="13573" width="18.5703125" style="814" customWidth="1"/>
    <col min="13574" max="13574" width="18.85546875" style="814" customWidth="1"/>
    <col min="13575" max="13575" width="18.140625" style="814" customWidth="1"/>
    <col min="13576" max="13576" width="17.28515625" style="814" customWidth="1"/>
    <col min="13577" max="13579" width="16.42578125" style="814" customWidth="1"/>
    <col min="13580" max="13580" width="16.5703125" style="814" customWidth="1"/>
    <col min="13581" max="13581" width="16.85546875" style="814" customWidth="1"/>
    <col min="13582" max="13582" width="16.28515625" style="814" customWidth="1"/>
    <col min="13583" max="13583" width="17.42578125" style="814" customWidth="1"/>
    <col min="13584" max="13584" width="17.28515625" style="814" customWidth="1"/>
    <col min="13585" max="13585" width="15.5703125" style="814" customWidth="1"/>
    <col min="13586" max="13586" width="15.28515625" style="814" customWidth="1"/>
    <col min="13587" max="13587" width="8.5703125" style="814" customWidth="1"/>
    <col min="13588" max="13824" width="9.140625" style="814"/>
    <col min="13825" max="13825" width="112" style="814" customWidth="1"/>
    <col min="13826" max="13826" width="19" style="814" customWidth="1"/>
    <col min="13827" max="13827" width="18.85546875" style="814" customWidth="1"/>
    <col min="13828" max="13828" width="19.140625" style="814" customWidth="1"/>
    <col min="13829" max="13829" width="18.5703125" style="814" customWidth="1"/>
    <col min="13830" max="13830" width="18.85546875" style="814" customWidth="1"/>
    <col min="13831" max="13831" width="18.140625" style="814" customWidth="1"/>
    <col min="13832" max="13832" width="17.28515625" style="814" customWidth="1"/>
    <col min="13833" max="13835" width="16.42578125" style="814" customWidth="1"/>
    <col min="13836" max="13836" width="16.5703125" style="814" customWidth="1"/>
    <col min="13837" max="13837" width="16.85546875" style="814" customWidth="1"/>
    <col min="13838" max="13838" width="16.28515625" style="814" customWidth="1"/>
    <col min="13839" max="13839" width="17.42578125" style="814" customWidth="1"/>
    <col min="13840" max="13840" width="17.28515625" style="814" customWidth="1"/>
    <col min="13841" max="13841" width="15.5703125" style="814" customWidth="1"/>
    <col min="13842" max="13842" width="15.28515625" style="814" customWidth="1"/>
    <col min="13843" max="13843" width="8.5703125" style="814" customWidth="1"/>
    <col min="13844" max="14080" width="9.140625" style="814"/>
    <col min="14081" max="14081" width="112" style="814" customWidth="1"/>
    <col min="14082" max="14082" width="19" style="814" customWidth="1"/>
    <col min="14083" max="14083" width="18.85546875" style="814" customWidth="1"/>
    <col min="14084" max="14084" width="19.140625" style="814" customWidth="1"/>
    <col min="14085" max="14085" width="18.5703125" style="814" customWidth="1"/>
    <col min="14086" max="14086" width="18.85546875" style="814" customWidth="1"/>
    <col min="14087" max="14087" width="18.140625" style="814" customWidth="1"/>
    <col min="14088" max="14088" width="17.28515625" style="814" customWidth="1"/>
    <col min="14089" max="14091" width="16.42578125" style="814" customWidth="1"/>
    <col min="14092" max="14092" width="16.5703125" style="814" customWidth="1"/>
    <col min="14093" max="14093" width="16.85546875" style="814" customWidth="1"/>
    <col min="14094" max="14094" width="16.28515625" style="814" customWidth="1"/>
    <col min="14095" max="14095" width="17.42578125" style="814" customWidth="1"/>
    <col min="14096" max="14096" width="17.28515625" style="814" customWidth="1"/>
    <col min="14097" max="14097" width="15.5703125" style="814" customWidth="1"/>
    <col min="14098" max="14098" width="15.28515625" style="814" customWidth="1"/>
    <col min="14099" max="14099" width="8.5703125" style="814" customWidth="1"/>
    <col min="14100" max="14336" width="9.140625" style="814"/>
    <col min="14337" max="14337" width="112" style="814" customWidth="1"/>
    <col min="14338" max="14338" width="19" style="814" customWidth="1"/>
    <col min="14339" max="14339" width="18.85546875" style="814" customWidth="1"/>
    <col min="14340" max="14340" width="19.140625" style="814" customWidth="1"/>
    <col min="14341" max="14341" width="18.5703125" style="814" customWidth="1"/>
    <col min="14342" max="14342" width="18.85546875" style="814" customWidth="1"/>
    <col min="14343" max="14343" width="18.140625" style="814" customWidth="1"/>
    <col min="14344" max="14344" width="17.28515625" style="814" customWidth="1"/>
    <col min="14345" max="14347" width="16.42578125" style="814" customWidth="1"/>
    <col min="14348" max="14348" width="16.5703125" style="814" customWidth="1"/>
    <col min="14349" max="14349" width="16.85546875" style="814" customWidth="1"/>
    <col min="14350" max="14350" width="16.28515625" style="814" customWidth="1"/>
    <col min="14351" max="14351" width="17.42578125" style="814" customWidth="1"/>
    <col min="14352" max="14352" width="17.28515625" style="814" customWidth="1"/>
    <col min="14353" max="14353" width="15.5703125" style="814" customWidth="1"/>
    <col min="14354" max="14354" width="15.28515625" style="814" customWidth="1"/>
    <col min="14355" max="14355" width="8.5703125" style="814" customWidth="1"/>
    <col min="14356" max="14592" width="9.140625" style="814"/>
    <col min="14593" max="14593" width="112" style="814" customWidth="1"/>
    <col min="14594" max="14594" width="19" style="814" customWidth="1"/>
    <col min="14595" max="14595" width="18.85546875" style="814" customWidth="1"/>
    <col min="14596" max="14596" width="19.140625" style="814" customWidth="1"/>
    <col min="14597" max="14597" width="18.5703125" style="814" customWidth="1"/>
    <col min="14598" max="14598" width="18.85546875" style="814" customWidth="1"/>
    <col min="14599" max="14599" width="18.140625" style="814" customWidth="1"/>
    <col min="14600" max="14600" width="17.28515625" style="814" customWidth="1"/>
    <col min="14601" max="14603" width="16.42578125" style="814" customWidth="1"/>
    <col min="14604" max="14604" width="16.5703125" style="814" customWidth="1"/>
    <col min="14605" max="14605" width="16.85546875" style="814" customWidth="1"/>
    <col min="14606" max="14606" width="16.28515625" style="814" customWidth="1"/>
    <col min="14607" max="14607" width="17.42578125" style="814" customWidth="1"/>
    <col min="14608" max="14608" width="17.28515625" style="814" customWidth="1"/>
    <col min="14609" max="14609" width="15.5703125" style="814" customWidth="1"/>
    <col min="14610" max="14610" width="15.28515625" style="814" customWidth="1"/>
    <col min="14611" max="14611" width="8.5703125" style="814" customWidth="1"/>
    <col min="14612" max="14848" width="9.140625" style="814"/>
    <col min="14849" max="14849" width="112" style="814" customWidth="1"/>
    <col min="14850" max="14850" width="19" style="814" customWidth="1"/>
    <col min="14851" max="14851" width="18.85546875" style="814" customWidth="1"/>
    <col min="14852" max="14852" width="19.140625" style="814" customWidth="1"/>
    <col min="14853" max="14853" width="18.5703125" style="814" customWidth="1"/>
    <col min="14854" max="14854" width="18.85546875" style="814" customWidth="1"/>
    <col min="14855" max="14855" width="18.140625" style="814" customWidth="1"/>
    <col min="14856" max="14856" width="17.28515625" style="814" customWidth="1"/>
    <col min="14857" max="14859" width="16.42578125" style="814" customWidth="1"/>
    <col min="14860" max="14860" width="16.5703125" style="814" customWidth="1"/>
    <col min="14861" max="14861" width="16.85546875" style="814" customWidth="1"/>
    <col min="14862" max="14862" width="16.28515625" style="814" customWidth="1"/>
    <col min="14863" max="14863" width="17.42578125" style="814" customWidth="1"/>
    <col min="14864" max="14864" width="17.28515625" style="814" customWidth="1"/>
    <col min="14865" max="14865" width="15.5703125" style="814" customWidth="1"/>
    <col min="14866" max="14866" width="15.28515625" style="814" customWidth="1"/>
    <col min="14867" max="14867" width="8.5703125" style="814" customWidth="1"/>
    <col min="14868" max="15104" width="9.140625" style="814"/>
    <col min="15105" max="15105" width="112" style="814" customWidth="1"/>
    <col min="15106" max="15106" width="19" style="814" customWidth="1"/>
    <col min="15107" max="15107" width="18.85546875" style="814" customWidth="1"/>
    <col min="15108" max="15108" width="19.140625" style="814" customWidth="1"/>
    <col min="15109" max="15109" width="18.5703125" style="814" customWidth="1"/>
    <col min="15110" max="15110" width="18.85546875" style="814" customWidth="1"/>
    <col min="15111" max="15111" width="18.140625" style="814" customWidth="1"/>
    <col min="15112" max="15112" width="17.28515625" style="814" customWidth="1"/>
    <col min="15113" max="15115" width="16.42578125" style="814" customWidth="1"/>
    <col min="15116" max="15116" width="16.5703125" style="814" customWidth="1"/>
    <col min="15117" max="15117" width="16.85546875" style="814" customWidth="1"/>
    <col min="15118" max="15118" width="16.28515625" style="814" customWidth="1"/>
    <col min="15119" max="15119" width="17.42578125" style="814" customWidth="1"/>
    <col min="15120" max="15120" width="17.28515625" style="814" customWidth="1"/>
    <col min="15121" max="15121" width="15.5703125" style="814" customWidth="1"/>
    <col min="15122" max="15122" width="15.28515625" style="814" customWidth="1"/>
    <col min="15123" max="15123" width="8.5703125" style="814" customWidth="1"/>
    <col min="15124" max="15360" width="9.140625" style="814"/>
    <col min="15361" max="15361" width="112" style="814" customWidth="1"/>
    <col min="15362" max="15362" width="19" style="814" customWidth="1"/>
    <col min="15363" max="15363" width="18.85546875" style="814" customWidth="1"/>
    <col min="15364" max="15364" width="19.140625" style="814" customWidth="1"/>
    <col min="15365" max="15365" width="18.5703125" style="814" customWidth="1"/>
    <col min="15366" max="15366" width="18.85546875" style="814" customWidth="1"/>
    <col min="15367" max="15367" width="18.140625" style="814" customWidth="1"/>
    <col min="15368" max="15368" width="17.28515625" style="814" customWidth="1"/>
    <col min="15369" max="15371" width="16.42578125" style="814" customWidth="1"/>
    <col min="15372" max="15372" width="16.5703125" style="814" customWidth="1"/>
    <col min="15373" max="15373" width="16.85546875" style="814" customWidth="1"/>
    <col min="15374" max="15374" width="16.28515625" style="814" customWidth="1"/>
    <col min="15375" max="15375" width="17.42578125" style="814" customWidth="1"/>
    <col min="15376" max="15376" width="17.28515625" style="814" customWidth="1"/>
    <col min="15377" max="15377" width="15.5703125" style="814" customWidth="1"/>
    <col min="15378" max="15378" width="15.28515625" style="814" customWidth="1"/>
    <col min="15379" max="15379" width="8.5703125" style="814" customWidth="1"/>
    <col min="15380" max="15616" width="9.140625" style="814"/>
    <col min="15617" max="15617" width="112" style="814" customWidth="1"/>
    <col min="15618" max="15618" width="19" style="814" customWidth="1"/>
    <col min="15619" max="15619" width="18.85546875" style="814" customWidth="1"/>
    <col min="15620" max="15620" width="19.140625" style="814" customWidth="1"/>
    <col min="15621" max="15621" width="18.5703125" style="814" customWidth="1"/>
    <col min="15622" max="15622" width="18.85546875" style="814" customWidth="1"/>
    <col min="15623" max="15623" width="18.140625" style="814" customWidth="1"/>
    <col min="15624" max="15624" width="17.28515625" style="814" customWidth="1"/>
    <col min="15625" max="15627" width="16.42578125" style="814" customWidth="1"/>
    <col min="15628" max="15628" width="16.5703125" style="814" customWidth="1"/>
    <col min="15629" max="15629" width="16.85546875" style="814" customWidth="1"/>
    <col min="15630" max="15630" width="16.28515625" style="814" customWidth="1"/>
    <col min="15631" max="15631" width="17.42578125" style="814" customWidth="1"/>
    <col min="15632" max="15632" width="17.28515625" style="814" customWidth="1"/>
    <col min="15633" max="15633" width="15.5703125" style="814" customWidth="1"/>
    <col min="15634" max="15634" width="15.28515625" style="814" customWidth="1"/>
    <col min="15635" max="15635" width="8.5703125" style="814" customWidth="1"/>
    <col min="15636" max="15872" width="9.140625" style="814"/>
    <col min="15873" max="15873" width="112" style="814" customWidth="1"/>
    <col min="15874" max="15874" width="19" style="814" customWidth="1"/>
    <col min="15875" max="15875" width="18.85546875" style="814" customWidth="1"/>
    <col min="15876" max="15876" width="19.140625" style="814" customWidth="1"/>
    <col min="15877" max="15877" width="18.5703125" style="814" customWidth="1"/>
    <col min="15878" max="15878" width="18.85546875" style="814" customWidth="1"/>
    <col min="15879" max="15879" width="18.140625" style="814" customWidth="1"/>
    <col min="15880" max="15880" width="17.28515625" style="814" customWidth="1"/>
    <col min="15881" max="15883" width="16.42578125" style="814" customWidth="1"/>
    <col min="15884" max="15884" width="16.5703125" style="814" customWidth="1"/>
    <col min="15885" max="15885" width="16.85546875" style="814" customWidth="1"/>
    <col min="15886" max="15886" width="16.28515625" style="814" customWidth="1"/>
    <col min="15887" max="15887" width="17.42578125" style="814" customWidth="1"/>
    <col min="15888" max="15888" width="17.28515625" style="814" customWidth="1"/>
    <col min="15889" max="15889" width="15.5703125" style="814" customWidth="1"/>
    <col min="15890" max="15890" width="15.28515625" style="814" customWidth="1"/>
    <col min="15891" max="15891" width="8.5703125" style="814" customWidth="1"/>
    <col min="15892" max="16128" width="9.140625" style="814"/>
    <col min="16129" max="16129" width="112" style="814" customWidth="1"/>
    <col min="16130" max="16130" width="19" style="814" customWidth="1"/>
    <col min="16131" max="16131" width="18.85546875" style="814" customWidth="1"/>
    <col min="16132" max="16132" width="19.140625" style="814" customWidth="1"/>
    <col min="16133" max="16133" width="18.5703125" style="814" customWidth="1"/>
    <col min="16134" max="16134" width="18.85546875" style="814" customWidth="1"/>
    <col min="16135" max="16135" width="18.140625" style="814" customWidth="1"/>
    <col min="16136" max="16136" width="17.28515625" style="814" customWidth="1"/>
    <col min="16137" max="16139" width="16.42578125" style="814" customWidth="1"/>
    <col min="16140" max="16140" width="16.5703125" style="814" customWidth="1"/>
    <col min="16141" max="16141" width="16.85546875" style="814" customWidth="1"/>
    <col min="16142" max="16142" width="16.28515625" style="814" customWidth="1"/>
    <col min="16143" max="16143" width="17.42578125" style="814" customWidth="1"/>
    <col min="16144" max="16144" width="17.28515625" style="814" customWidth="1"/>
    <col min="16145" max="16145" width="15.5703125" style="814" customWidth="1"/>
    <col min="16146" max="16146" width="15.28515625" style="814" customWidth="1"/>
    <col min="16147" max="16147" width="8.5703125" style="814" customWidth="1"/>
    <col min="16148" max="16384" width="9.140625" style="814"/>
  </cols>
  <sheetData>
    <row r="1" spans="1:19" s="794" customFormat="1" ht="12" customHeight="1" x14ac:dyDescent="0.25">
      <c r="A1" s="4478"/>
      <c r="B1" s="4478"/>
      <c r="C1" s="4478"/>
      <c r="D1" s="4478"/>
      <c r="E1" s="4478"/>
      <c r="F1" s="4478"/>
      <c r="G1" s="4478"/>
      <c r="H1" s="4478"/>
      <c r="I1" s="4478"/>
      <c r="J1" s="4478"/>
      <c r="K1" s="4478"/>
      <c r="L1" s="4478"/>
      <c r="M1" s="4478"/>
      <c r="N1" s="4478"/>
      <c r="O1" s="4478"/>
      <c r="P1" s="4478"/>
      <c r="Q1" s="4478"/>
      <c r="R1" s="4478"/>
    </row>
    <row r="2" spans="1:19" s="794" customFormat="1" ht="12" customHeight="1" x14ac:dyDescent="0.25">
      <c r="A2" s="4478"/>
      <c r="B2" s="4478"/>
      <c r="C2" s="4478"/>
      <c r="D2" s="4478"/>
      <c r="E2" s="4478"/>
      <c r="F2" s="4478"/>
      <c r="G2" s="4478"/>
      <c r="H2" s="4478"/>
      <c r="I2" s="4478"/>
      <c r="J2" s="4478"/>
      <c r="K2" s="4478"/>
      <c r="L2" s="4478"/>
      <c r="M2" s="4478"/>
      <c r="N2" s="4478"/>
      <c r="O2" s="4478"/>
      <c r="P2" s="4478"/>
      <c r="Q2" s="4478"/>
      <c r="R2" s="4478"/>
    </row>
    <row r="3" spans="1:19" s="794" customFormat="1" ht="12" customHeight="1" x14ac:dyDescent="0.25">
      <c r="A3" s="4478"/>
      <c r="B3" s="4478"/>
      <c r="C3" s="4478"/>
      <c r="D3" s="4478"/>
      <c r="E3" s="4478"/>
      <c r="F3" s="4478"/>
      <c r="G3" s="4478"/>
      <c r="H3" s="4478"/>
      <c r="I3" s="4478"/>
      <c r="J3" s="4478"/>
      <c r="K3" s="4478"/>
      <c r="L3" s="4478"/>
      <c r="M3" s="4478"/>
      <c r="N3" s="4478"/>
      <c r="O3" s="4478"/>
      <c r="P3" s="4478"/>
      <c r="Q3" s="4478"/>
      <c r="R3" s="4478"/>
    </row>
    <row r="4" spans="1:19" s="794" customFormat="1" ht="12" customHeight="1" x14ac:dyDescent="0.25">
      <c r="A4" s="4478"/>
      <c r="B4" s="4478"/>
      <c r="C4" s="4478"/>
      <c r="D4" s="4478"/>
      <c r="E4" s="4478"/>
      <c r="F4" s="4478"/>
      <c r="G4" s="4478"/>
      <c r="H4" s="4478"/>
      <c r="I4" s="4478"/>
      <c r="J4" s="4478"/>
      <c r="K4" s="4478"/>
      <c r="L4" s="4478"/>
      <c r="M4" s="4478"/>
      <c r="N4" s="4478"/>
      <c r="O4" s="4478"/>
      <c r="P4" s="4478"/>
      <c r="Q4" s="4478"/>
      <c r="R4" s="4478"/>
    </row>
    <row r="5" spans="1:19" s="794" customFormat="1" ht="12" customHeight="1" x14ac:dyDescent="0.25">
      <c r="A5" s="4478"/>
      <c r="B5" s="4478"/>
      <c r="C5" s="4478"/>
      <c r="D5" s="4478"/>
      <c r="E5" s="4478"/>
      <c r="F5" s="4478"/>
      <c r="G5" s="4478"/>
      <c r="H5" s="4478"/>
      <c r="I5" s="4478"/>
      <c r="J5" s="4478"/>
      <c r="K5" s="4478"/>
      <c r="L5" s="4478"/>
      <c r="M5" s="4478"/>
      <c r="N5" s="4478"/>
      <c r="O5" s="4478"/>
      <c r="P5" s="4478"/>
      <c r="Q5" s="4478"/>
      <c r="R5" s="4478"/>
    </row>
    <row r="6" spans="1:19" s="794" customFormat="1" ht="12" customHeight="1" x14ac:dyDescent="0.25">
      <c r="A6" s="4478"/>
      <c r="B6" s="4478"/>
      <c r="C6" s="4478"/>
      <c r="D6" s="4478"/>
      <c r="E6" s="4478"/>
      <c r="F6" s="4478"/>
      <c r="G6" s="4478"/>
      <c r="H6" s="4478"/>
      <c r="I6" s="4478"/>
      <c r="J6" s="4478"/>
      <c r="K6" s="4478"/>
      <c r="L6" s="4478"/>
      <c r="M6" s="4478"/>
      <c r="N6" s="4478"/>
      <c r="O6" s="4478"/>
      <c r="P6" s="4478"/>
      <c r="Q6" s="4478"/>
      <c r="R6" s="4478"/>
    </row>
    <row r="7" spans="1:19" s="794" customFormat="1" ht="12" customHeight="1" x14ac:dyDescent="0.25">
      <c r="A7" s="4478"/>
      <c r="B7" s="4478"/>
      <c r="C7" s="4478"/>
      <c r="D7" s="4478"/>
      <c r="E7" s="4478"/>
      <c r="F7" s="4478"/>
      <c r="G7" s="4478"/>
      <c r="H7" s="4478"/>
      <c r="I7" s="4478"/>
      <c r="J7" s="4478"/>
      <c r="K7" s="4478"/>
      <c r="L7" s="4478"/>
      <c r="M7" s="4478"/>
      <c r="N7" s="4478"/>
      <c r="O7" s="4478"/>
      <c r="P7" s="4478"/>
      <c r="Q7" s="4478"/>
      <c r="R7" s="4478"/>
    </row>
    <row r="8" spans="1:19" s="794" customFormat="1" ht="12" customHeight="1" x14ac:dyDescent="0.25">
      <c r="A8" s="4478"/>
      <c r="B8" s="4478"/>
      <c r="C8" s="4478"/>
      <c r="D8" s="4478"/>
      <c r="E8" s="4478"/>
      <c r="F8" s="4478"/>
      <c r="G8" s="4478"/>
      <c r="H8" s="4478"/>
      <c r="I8" s="4478"/>
      <c r="J8" s="4478"/>
      <c r="K8" s="4478"/>
      <c r="L8" s="4478"/>
      <c r="M8" s="4478"/>
      <c r="N8" s="4478"/>
      <c r="O8" s="4478"/>
      <c r="P8" s="4478"/>
      <c r="Q8" s="4478"/>
      <c r="R8" s="4478"/>
    </row>
    <row r="9" spans="1:19" s="794" customFormat="1" ht="12" customHeight="1" x14ac:dyDescent="0.25">
      <c r="A9" s="4478"/>
      <c r="B9" s="4478"/>
      <c r="C9" s="4478"/>
      <c r="D9" s="4478"/>
      <c r="E9" s="4478"/>
      <c r="F9" s="4478"/>
      <c r="G9" s="4478"/>
      <c r="H9" s="4478"/>
      <c r="I9" s="4478"/>
      <c r="J9" s="4478"/>
      <c r="K9" s="4478"/>
      <c r="L9" s="4478"/>
      <c r="M9" s="4478"/>
      <c r="N9" s="4478"/>
      <c r="O9" s="4478"/>
      <c r="P9" s="4478"/>
      <c r="Q9" s="4478"/>
      <c r="R9" s="4478"/>
    </row>
    <row r="10" spans="1:19" s="794" customFormat="1" ht="30.75" customHeight="1" thickBot="1" x14ac:dyDescent="0.3">
      <c r="A10" s="4479"/>
      <c r="B10" s="4479"/>
      <c r="C10" s="4479"/>
      <c r="D10" s="4479"/>
      <c r="E10" s="4479"/>
      <c r="F10" s="4479"/>
      <c r="G10" s="4479"/>
      <c r="H10" s="4479"/>
      <c r="I10" s="4479"/>
      <c r="J10" s="4479"/>
      <c r="K10" s="4479"/>
      <c r="L10" s="4479"/>
      <c r="M10" s="4479"/>
      <c r="N10" s="4479"/>
      <c r="O10" s="4479"/>
      <c r="P10" s="4479"/>
      <c r="Q10" s="4479"/>
      <c r="R10" s="4479"/>
    </row>
    <row r="11" spans="1:19" s="794" customFormat="1" ht="27.75" x14ac:dyDescent="0.4">
      <c r="A11" s="4480" t="s">
        <v>2732</v>
      </c>
      <c r="B11" s="4480"/>
      <c r="C11" s="4480"/>
      <c r="D11" s="4480"/>
      <c r="E11" s="4480"/>
      <c r="F11" s="4480"/>
      <c r="G11" s="4480"/>
      <c r="H11" s="4480"/>
      <c r="I11" s="4480"/>
      <c r="J11" s="4480"/>
      <c r="K11" s="4480"/>
      <c r="L11" s="4480"/>
      <c r="M11" s="4480"/>
      <c r="N11" s="4480"/>
      <c r="O11" s="4480"/>
      <c r="P11" s="4480"/>
      <c r="Q11" s="4480"/>
      <c r="R11" s="4480"/>
      <c r="S11" s="954"/>
    </row>
    <row r="12" spans="1:19" s="794" customFormat="1" ht="17.25" customHeight="1" x14ac:dyDescent="0.25">
      <c r="A12" s="22"/>
      <c r="B12" s="795"/>
      <c r="L12" s="796"/>
      <c r="M12" s="796"/>
      <c r="N12" s="796" t="s">
        <v>1</v>
      </c>
      <c r="O12" s="1816"/>
      <c r="Q12" s="4541">
        <v>42430</v>
      </c>
      <c r="R12" s="4541"/>
      <c r="S12" s="797"/>
    </row>
    <row r="13" spans="1:19" s="794" customFormat="1" ht="26.25" x14ac:dyDescent="0.25">
      <c r="A13" s="4482" t="s">
        <v>2733</v>
      </c>
      <c r="B13" s="4482"/>
      <c r="C13" s="4482"/>
      <c r="D13" s="4482"/>
      <c r="E13" s="4482"/>
      <c r="F13" s="4482"/>
      <c r="G13" s="4482"/>
      <c r="H13" s="4482"/>
      <c r="I13" s="4482"/>
      <c r="J13" s="4482"/>
      <c r="K13" s="4482"/>
      <c r="L13" s="4482"/>
      <c r="M13" s="4482"/>
      <c r="N13" s="4482"/>
      <c r="O13" s="4482"/>
      <c r="P13" s="4482"/>
      <c r="Q13" s="4482"/>
      <c r="R13" s="4482"/>
      <c r="S13" s="798"/>
    </row>
    <row r="14" spans="1:19" s="794" customFormat="1" ht="19.5" customHeight="1" x14ac:dyDescent="0.25">
      <c r="A14" s="799" t="s">
        <v>399</v>
      </c>
      <c r="B14" s="800" t="s">
        <v>2734</v>
      </c>
      <c r="C14" s="800" t="s">
        <v>2735</v>
      </c>
      <c r="D14" s="800" t="s">
        <v>2736</v>
      </c>
      <c r="E14" s="800" t="s">
        <v>2737</v>
      </c>
      <c r="F14" s="800" t="s">
        <v>2738</v>
      </c>
      <c r="G14" s="800" t="s">
        <v>2739</v>
      </c>
      <c r="H14" s="800" t="s">
        <v>2740</v>
      </c>
      <c r="I14" s="4483" t="s">
        <v>2741</v>
      </c>
      <c r="J14" s="4484"/>
      <c r="K14" s="4483" t="s">
        <v>2742</v>
      </c>
      <c r="L14" s="4484"/>
      <c r="M14" s="4483" t="s">
        <v>2743</v>
      </c>
      <c r="N14" s="4484"/>
      <c r="O14" s="4483" t="s">
        <v>2744</v>
      </c>
      <c r="P14" s="4484"/>
      <c r="Q14" s="4483" t="s">
        <v>2745</v>
      </c>
      <c r="R14" s="4484"/>
    </row>
    <row r="15" spans="1:19" s="794" customFormat="1" ht="20.25" customHeight="1" x14ac:dyDescent="0.25">
      <c r="A15" s="799" t="s">
        <v>1282</v>
      </c>
      <c r="B15" s="1782" t="s">
        <v>1283</v>
      </c>
      <c r="C15" s="1782" t="s">
        <v>1372</v>
      </c>
      <c r="D15" s="1782" t="s">
        <v>1373</v>
      </c>
      <c r="E15" s="1782" t="s">
        <v>1286</v>
      </c>
      <c r="F15" s="1782" t="s">
        <v>1287</v>
      </c>
      <c r="G15" s="1782" t="s">
        <v>1288</v>
      </c>
      <c r="H15" s="1782" t="s">
        <v>1289</v>
      </c>
      <c r="I15" s="4490" t="s">
        <v>1290</v>
      </c>
      <c r="J15" s="4491"/>
      <c r="K15" s="4490" t="s">
        <v>1291</v>
      </c>
      <c r="L15" s="4491"/>
      <c r="M15" s="4490" t="s">
        <v>1292</v>
      </c>
      <c r="N15" s="4491"/>
      <c r="O15" s="4490" t="s">
        <v>1293</v>
      </c>
      <c r="P15" s="4491"/>
      <c r="Q15" s="4490" t="s">
        <v>1294</v>
      </c>
      <c r="R15" s="4491"/>
    </row>
    <row r="16" spans="1:19" s="794" customFormat="1" ht="20.25" customHeight="1" x14ac:dyDescent="0.25">
      <c r="A16" s="799" t="s">
        <v>2698</v>
      </c>
      <c r="B16" s="1782">
        <v>0.22</v>
      </c>
      <c r="C16" s="1782">
        <v>0.28999999999999998</v>
      </c>
      <c r="D16" s="1782">
        <v>0.38</v>
      </c>
      <c r="E16" s="1782">
        <v>0.47</v>
      </c>
      <c r="F16" s="1782">
        <v>0.47</v>
      </c>
      <c r="G16" s="1782">
        <v>0.59</v>
      </c>
      <c r="H16" s="1818">
        <v>0.72</v>
      </c>
      <c r="I16" s="4490">
        <v>0.85</v>
      </c>
      <c r="J16" s="4491"/>
      <c r="K16" s="4490">
        <v>0.75</v>
      </c>
      <c r="L16" s="4491"/>
      <c r="M16" s="4490">
        <v>0.92</v>
      </c>
      <c r="N16" s="4491"/>
      <c r="O16" s="4490">
        <v>0.95</v>
      </c>
      <c r="P16" s="4491"/>
      <c r="Q16" s="4490">
        <v>1.1599999999999999</v>
      </c>
      <c r="R16" s="4491"/>
    </row>
    <row r="17" spans="1:18" s="794" customFormat="1" ht="20.25" x14ac:dyDescent="0.25">
      <c r="A17" s="801" t="s">
        <v>2746</v>
      </c>
      <c r="B17" s="802">
        <f>ROUND(21000*(1-E78),2)</f>
        <v>21000</v>
      </c>
      <c r="C17" s="802">
        <f>ROUND(22350*(1-E78),2)</f>
        <v>22350</v>
      </c>
      <c r="D17" s="802">
        <f>ROUND(24850*(1-E78),2)</f>
        <v>24850</v>
      </c>
      <c r="E17" s="802">
        <f>ROUND(25950*(1-E78),2)</f>
        <v>25950</v>
      </c>
      <c r="F17" s="802">
        <f>ROUND(25400*(1-E78),2)</f>
        <v>25400</v>
      </c>
      <c r="G17" s="802">
        <f>ROUND(27600*(1-E78),2)</f>
        <v>27600</v>
      </c>
      <c r="H17" s="802">
        <f>ROUND(29550*(1-E78),2)</f>
        <v>29550</v>
      </c>
      <c r="I17" s="4494">
        <f>ROUND(34200*(1-E78),2)</f>
        <v>34200</v>
      </c>
      <c r="J17" s="4495"/>
      <c r="K17" s="4500">
        <f>ROUND(32300*(1-E78),2)</f>
        <v>32300</v>
      </c>
      <c r="L17" s="4501"/>
      <c r="M17" s="4494">
        <f>ROUND(34500*(1-E78),2)</f>
        <v>34500</v>
      </c>
      <c r="N17" s="4495"/>
      <c r="O17" s="4494">
        <f>ROUND(33950*(1-E78),2)</f>
        <v>33950</v>
      </c>
      <c r="P17" s="4495"/>
      <c r="Q17" s="4494">
        <f>ROUND(37800*(1-E78),2)</f>
        <v>37800</v>
      </c>
      <c r="R17" s="4495"/>
    </row>
    <row r="18" spans="1:18" s="794" customFormat="1" ht="20.25" x14ac:dyDescent="0.25">
      <c r="A18" s="801" t="s">
        <v>2747</v>
      </c>
      <c r="B18" s="802">
        <f>ROUND(26600*(1-B78),2)</f>
        <v>26600</v>
      </c>
      <c r="C18" s="802">
        <f>ROUND(28350*(1-B78),2)</f>
        <v>28350</v>
      </c>
      <c r="D18" s="802">
        <f>ROUND(31500*(1-B78),2)</f>
        <v>31500</v>
      </c>
      <c r="E18" s="802">
        <f>ROUND(32900*(1-B78),2)</f>
        <v>32900</v>
      </c>
      <c r="F18" s="802">
        <f>ROUND(32200*(1-B78),2)</f>
        <v>32200</v>
      </c>
      <c r="G18" s="802">
        <f>ROUND(35000*(1-B78),2)</f>
        <v>35000</v>
      </c>
      <c r="H18" s="802">
        <f>ROUND(37450*(1-B78),2)</f>
        <v>37450</v>
      </c>
      <c r="I18" s="4494">
        <f>ROUND(43400*(1-B78),2)</f>
        <v>43400</v>
      </c>
      <c r="J18" s="4495"/>
      <c r="K18" s="4494">
        <f>ROUND(40950*(1-B78),2)</f>
        <v>40950</v>
      </c>
      <c r="L18" s="4495"/>
      <c r="M18" s="4494">
        <f>ROUND(43750*(1-B78),2)</f>
        <v>43750</v>
      </c>
      <c r="N18" s="4495"/>
      <c r="O18" s="4494">
        <f>ROUND(43050*(1-B78),2)</f>
        <v>43050</v>
      </c>
      <c r="P18" s="4495"/>
      <c r="Q18" s="4494">
        <f>ROUND(47950*(1-B78),2)</f>
        <v>47950</v>
      </c>
      <c r="R18" s="4495"/>
    </row>
    <row r="19" spans="1:18" s="794" customFormat="1" ht="20.25" x14ac:dyDescent="0.25">
      <c r="A19" s="801" t="s">
        <v>2748</v>
      </c>
      <c r="B19" s="802">
        <f>ROUND(34650*(1-B78),2)</f>
        <v>34650</v>
      </c>
      <c r="C19" s="802">
        <f>ROUND(36750*(1-B78),2)</f>
        <v>36750</v>
      </c>
      <c r="D19" s="802">
        <f>ROUND(40450*(1-B78),2)</f>
        <v>40450</v>
      </c>
      <c r="E19" s="802">
        <f>ROUND(42100*(1-B78),2)</f>
        <v>42100</v>
      </c>
      <c r="F19" s="802">
        <f>ROUND(41300*(1-B78),2)</f>
        <v>41300</v>
      </c>
      <c r="G19" s="802">
        <f>ROUND(44600*(1-B78),2)</f>
        <v>44600</v>
      </c>
      <c r="H19" s="802">
        <f>ROUND(47500*(1-B78),2)</f>
        <v>47500</v>
      </c>
      <c r="I19" s="4494">
        <f>ROUND(54550*(1-B78),2)</f>
        <v>54550</v>
      </c>
      <c r="J19" s="4495"/>
      <c r="K19" s="4494">
        <f>ROUND(51650*(1-B78),2)</f>
        <v>51650</v>
      </c>
      <c r="L19" s="4495"/>
      <c r="M19" s="4494">
        <f>ROUND(54950*(1-B78),2)</f>
        <v>54950</v>
      </c>
      <c r="N19" s="4495"/>
      <c r="O19" s="4494">
        <f>ROUND(54100*(1-B78),2)</f>
        <v>54100</v>
      </c>
      <c r="P19" s="4495"/>
      <c r="Q19" s="4494">
        <f>ROUND(59900*(1-B78),2)</f>
        <v>59900</v>
      </c>
      <c r="R19" s="4495"/>
    </row>
    <row r="20" spans="1:18" s="794" customFormat="1" ht="20.25" x14ac:dyDescent="0.25">
      <c r="A20" s="801" t="s">
        <v>2749</v>
      </c>
      <c r="B20" s="802">
        <f>ROUND(43100*(1-B78),2)</f>
        <v>43100</v>
      </c>
      <c r="C20" s="802">
        <f>ROUND(45750*(1-B78),2)</f>
        <v>45750</v>
      </c>
      <c r="D20" s="802">
        <f>ROUND(50450*(1-D79),2)</f>
        <v>50450</v>
      </c>
      <c r="E20" s="802">
        <f>ROUND(52550*(1-B78),2)</f>
        <v>52550</v>
      </c>
      <c r="F20" s="802">
        <f>ROUND(51500*(1-B78),2)</f>
        <v>51500</v>
      </c>
      <c r="G20" s="802">
        <f>ROUND(55700*(1-G79),2)</f>
        <v>55700</v>
      </c>
      <c r="H20" s="802">
        <f>ROUND(59400*(1-H79),2)</f>
        <v>59400</v>
      </c>
      <c r="I20" s="4494">
        <f>ROUND(68300*(1-J79),2)</f>
        <v>68300</v>
      </c>
      <c r="J20" s="4495"/>
      <c r="K20" s="4494">
        <f>ROUND(64650*(1-L79),2)</f>
        <v>64650</v>
      </c>
      <c r="L20" s="4495"/>
      <c r="M20" s="4494">
        <f>ROUND(68850*(1-N79),2)</f>
        <v>68850</v>
      </c>
      <c r="N20" s="4495"/>
      <c r="O20" s="4494">
        <f>ROUND(67800*(1-P79),2)</f>
        <v>67800</v>
      </c>
      <c r="P20" s="4495"/>
      <c r="Q20" s="4494">
        <f>ROUND(75150*(1-R79),2)</f>
        <v>75150</v>
      </c>
      <c r="R20" s="4495"/>
    </row>
    <row r="21" spans="1:18" s="794" customFormat="1" ht="20.25" x14ac:dyDescent="0.25">
      <c r="A21" s="801" t="s">
        <v>2750</v>
      </c>
      <c r="B21" s="802" t="s">
        <v>17</v>
      </c>
      <c r="C21" s="802">
        <f>ROUND(34700*(1-B79),2)</f>
        <v>34700</v>
      </c>
      <c r="D21" s="802" t="s">
        <v>17</v>
      </c>
      <c r="E21" s="802">
        <f>ROUND(40300*(1-D79),2)</f>
        <v>40300</v>
      </c>
      <c r="F21" s="802">
        <f>ROUND(39450*(1-E79),2)</f>
        <v>39450</v>
      </c>
      <c r="G21" s="802">
        <f>ROUND(42850*(1-F79),2)</f>
        <v>42850</v>
      </c>
      <c r="H21" s="802">
        <f>ROUND(45850*(1-G79),2)</f>
        <v>45850</v>
      </c>
      <c r="I21" s="4494">
        <f>ROUND(53150*(1-H79),2)</f>
        <v>53150</v>
      </c>
      <c r="J21" s="4495"/>
      <c r="K21" s="4494">
        <f>ROUND(50150*(1-J79),2)</f>
        <v>50150</v>
      </c>
      <c r="L21" s="4495"/>
      <c r="M21" s="4494">
        <f>ROUND(53600*(1-L79),2)</f>
        <v>53600</v>
      </c>
      <c r="N21" s="4495"/>
      <c r="O21" s="4494">
        <f>ROUND(52700*(1-N79),2)</f>
        <v>52700</v>
      </c>
      <c r="P21" s="4495"/>
      <c r="Q21" s="4494">
        <f>ROUND(58700*(1-P79),2)</f>
        <v>58700</v>
      </c>
      <c r="R21" s="4495"/>
    </row>
    <row r="22" spans="1:18" s="794" customFormat="1" ht="20.25" x14ac:dyDescent="0.25">
      <c r="A22" s="801" t="s">
        <v>2751</v>
      </c>
      <c r="B22" s="802" t="s">
        <v>17</v>
      </c>
      <c r="C22" s="802">
        <f>ROUND(39700*(1-B80),2)</f>
        <v>39700</v>
      </c>
      <c r="D22" s="802" t="s">
        <v>17</v>
      </c>
      <c r="E22" s="802">
        <f>ROUND(46050*(1-D80),2)</f>
        <v>46050</v>
      </c>
      <c r="F22" s="802">
        <f>ROUND(45100*(1-E80),2)</f>
        <v>45100</v>
      </c>
      <c r="G22" s="802">
        <f>ROUND(49000*(1-F80),2)</f>
        <v>49000</v>
      </c>
      <c r="H22" s="802">
        <f>ROUND(52450*(1-G80),2)</f>
        <v>52450</v>
      </c>
      <c r="I22" s="4494">
        <f>ROUND(60750*(1-H80),2)</f>
        <v>60750</v>
      </c>
      <c r="J22" s="4495"/>
      <c r="K22" s="4494">
        <f>ROUND(57350*(1-J80),2)</f>
        <v>57350</v>
      </c>
      <c r="L22" s="4495"/>
      <c r="M22" s="4494">
        <f>ROUND(61250*(1-L80),2)</f>
        <v>61250</v>
      </c>
      <c r="N22" s="4495"/>
      <c r="O22" s="4494">
        <f>ROUND(60250*(1-N80),2)</f>
        <v>60250</v>
      </c>
      <c r="P22" s="4495"/>
      <c r="Q22" s="4494">
        <f>ROUND(67150*(1-P80),2)</f>
        <v>67150</v>
      </c>
      <c r="R22" s="4495"/>
    </row>
    <row r="23" spans="1:18" s="794" customFormat="1" ht="20.25" x14ac:dyDescent="0.25">
      <c r="A23" s="801" t="s">
        <v>2752</v>
      </c>
      <c r="B23" s="802">
        <f>ROUND(66000*(1-B82),2)</f>
        <v>66000</v>
      </c>
      <c r="C23" s="802">
        <f>ROUND(67350*(1-B81),2)</f>
        <v>67350</v>
      </c>
      <c r="D23" s="802">
        <f>ROUND(69850*(1-C81),2)</f>
        <v>69850</v>
      </c>
      <c r="E23" s="802">
        <f>ROUND(70950*(1-D81),2)</f>
        <v>70950</v>
      </c>
      <c r="F23" s="802">
        <f>ROUND(70400*(1-E81),2)</f>
        <v>70400</v>
      </c>
      <c r="G23" s="802">
        <f>ROUND(72600*(1-F81),2)</f>
        <v>72600</v>
      </c>
      <c r="H23" s="802">
        <f>ROUND(74550*(1-G81),2)</f>
        <v>74550</v>
      </c>
      <c r="I23" s="4494">
        <f>ROUND(79200*(1-H81),2)</f>
        <v>79200</v>
      </c>
      <c r="J23" s="4495"/>
      <c r="K23" s="4494">
        <f>ROUND(77300*(1-J81),2)</f>
        <v>77300</v>
      </c>
      <c r="L23" s="4495"/>
      <c r="M23" s="4494">
        <f>ROUND(79500*(1-L81),2)</f>
        <v>79500</v>
      </c>
      <c r="N23" s="4495"/>
      <c r="O23" s="4494">
        <f>ROUND(78950*(1-N81),2)</f>
        <v>78950</v>
      </c>
      <c r="P23" s="4495"/>
      <c r="Q23" s="4494">
        <f>ROUND(82800*(1-P81),2)</f>
        <v>82800</v>
      </c>
      <c r="R23" s="4495"/>
    </row>
    <row r="24" spans="1:18" s="794" customFormat="1" ht="20.25" x14ac:dyDescent="0.25">
      <c r="A24" s="1897" t="s">
        <v>2909</v>
      </c>
      <c r="B24" s="802">
        <f>ROUND(71600*(1-B78),2)</f>
        <v>71600</v>
      </c>
      <c r="C24" s="802">
        <f>ROUND(73350*(1-C78),2)</f>
        <v>73350</v>
      </c>
      <c r="D24" s="802">
        <f>ROUND(76500*(1-D78),2)</f>
        <v>76500</v>
      </c>
      <c r="E24" s="802">
        <f>ROUND(77900*(1-E78),2)</f>
        <v>77900</v>
      </c>
      <c r="F24" s="802">
        <f>ROUND(77200*(1-F78),2)</f>
        <v>77200</v>
      </c>
      <c r="G24" s="802">
        <f>ROUND(80000*(1-G78),2)</f>
        <v>80000</v>
      </c>
      <c r="H24" s="802">
        <f>ROUND(82450*(1-H78),2)</f>
        <v>82450</v>
      </c>
      <c r="I24" s="4494">
        <f>ROUND(88400*(1-J78),2)</f>
        <v>88400</v>
      </c>
      <c r="J24" s="4495"/>
      <c r="K24" s="4494">
        <f>ROUND(85950*(1-L78),2)</f>
        <v>85950</v>
      </c>
      <c r="L24" s="4495"/>
      <c r="M24" s="4494">
        <f>ROUND(88750*(1-N78),2)</f>
        <v>88750</v>
      </c>
      <c r="N24" s="4495"/>
      <c r="O24" s="4494">
        <f>ROUND(88050*(1-P78),2)</f>
        <v>88050</v>
      </c>
      <c r="P24" s="4495"/>
      <c r="Q24" s="4494">
        <f>ROUND(92950*(1-R78),2)</f>
        <v>92950</v>
      </c>
      <c r="R24" s="4495"/>
    </row>
    <row r="25" spans="1:18" s="794" customFormat="1" ht="23.25" customHeight="1" x14ac:dyDescent="0.25">
      <c r="A25" s="4482" t="s">
        <v>2706</v>
      </c>
      <c r="B25" s="4482"/>
      <c r="C25" s="4482"/>
      <c r="D25" s="4482"/>
      <c r="E25" s="4482"/>
      <c r="F25" s="4482"/>
      <c r="G25" s="4482"/>
      <c r="H25" s="4482"/>
      <c r="I25" s="4482"/>
      <c r="J25" s="4482"/>
      <c r="K25" s="4482"/>
      <c r="L25" s="4482"/>
      <c r="M25" s="4482"/>
      <c r="N25" s="4482"/>
      <c r="O25" s="4482"/>
      <c r="P25" s="4482"/>
      <c r="Q25" s="4482"/>
      <c r="R25" s="4482"/>
    </row>
    <row r="26" spans="1:18" s="794" customFormat="1" ht="20.25" x14ac:dyDescent="0.25">
      <c r="A26" s="801" t="s">
        <v>2753</v>
      </c>
      <c r="B26" s="4494">
        <f>ROUND(13800*(1-H78),2)</f>
        <v>13800</v>
      </c>
      <c r="C26" s="4542"/>
      <c r="D26" s="4542"/>
      <c r="E26" s="4542"/>
      <c r="F26" s="4542"/>
      <c r="G26" s="4542"/>
      <c r="H26" s="4542"/>
      <c r="I26" s="4542"/>
      <c r="J26" s="4542"/>
      <c r="K26" s="4542"/>
      <c r="L26" s="4542"/>
      <c r="M26" s="4542"/>
      <c r="N26" s="4542"/>
      <c r="O26" s="4542"/>
      <c r="P26" s="4542"/>
      <c r="Q26" s="4542"/>
      <c r="R26" s="4495"/>
    </row>
    <row r="27" spans="1:18" s="794" customFormat="1" ht="20.25" x14ac:dyDescent="0.25">
      <c r="A27" s="801" t="s">
        <v>2754</v>
      </c>
      <c r="B27" s="4494">
        <f>ROUND(17000*(1-H78),2)</f>
        <v>17000</v>
      </c>
      <c r="C27" s="4542"/>
      <c r="D27" s="4542"/>
      <c r="E27" s="4542"/>
      <c r="F27" s="4542"/>
      <c r="G27" s="4542"/>
      <c r="H27" s="4542"/>
      <c r="I27" s="4542"/>
      <c r="J27" s="4542"/>
      <c r="K27" s="4542"/>
      <c r="L27" s="4542"/>
      <c r="M27" s="4542"/>
      <c r="N27" s="4542"/>
      <c r="O27" s="4542"/>
      <c r="P27" s="4542"/>
      <c r="Q27" s="4542"/>
      <c r="R27" s="4495"/>
    </row>
    <row r="28" spans="1:18" s="794" customFormat="1" ht="20.25" x14ac:dyDescent="0.25">
      <c r="A28" s="801" t="s">
        <v>2755</v>
      </c>
      <c r="B28" s="4494">
        <f>ROUND(15400*(1-H78),2)</f>
        <v>15400</v>
      </c>
      <c r="C28" s="4542"/>
      <c r="D28" s="4542"/>
      <c r="E28" s="4542"/>
      <c r="F28" s="4542"/>
      <c r="G28" s="4542"/>
      <c r="H28" s="4542"/>
      <c r="I28" s="4542"/>
      <c r="J28" s="4542"/>
      <c r="K28" s="4542"/>
      <c r="L28" s="4542"/>
      <c r="M28" s="4542"/>
      <c r="N28" s="4542"/>
      <c r="O28" s="4542"/>
      <c r="P28" s="4542"/>
      <c r="Q28" s="4542"/>
      <c r="R28" s="4495"/>
    </row>
    <row r="29" spans="1:18" s="794" customFormat="1" ht="20.25" x14ac:dyDescent="0.25">
      <c r="A29" s="801" t="s">
        <v>2756</v>
      </c>
      <c r="B29" s="4494">
        <f>ROUND(50600*(1-H78),2)</f>
        <v>50600</v>
      </c>
      <c r="C29" s="4542"/>
      <c r="D29" s="4542"/>
      <c r="E29" s="4542"/>
      <c r="F29" s="4542"/>
      <c r="G29" s="4542"/>
      <c r="H29" s="4542"/>
      <c r="I29" s="4542"/>
      <c r="J29" s="4542"/>
      <c r="K29" s="4542"/>
      <c r="L29" s="4542"/>
      <c r="M29" s="4542"/>
      <c r="N29" s="4542"/>
      <c r="O29" s="4542"/>
      <c r="P29" s="4542"/>
      <c r="Q29" s="4542"/>
      <c r="R29" s="4495"/>
    </row>
    <row r="30" spans="1:18" s="794" customFormat="1" ht="20.25" x14ac:dyDescent="0.25">
      <c r="A30" s="801" t="s">
        <v>2757</v>
      </c>
      <c r="B30" s="4494">
        <f>ROUND(9000*(1-H78),2)</f>
        <v>9000</v>
      </c>
      <c r="C30" s="4542"/>
      <c r="D30" s="4542"/>
      <c r="E30" s="4542"/>
      <c r="F30" s="4542"/>
      <c r="G30" s="4542"/>
      <c r="H30" s="4542"/>
      <c r="I30" s="4542"/>
      <c r="J30" s="4542"/>
      <c r="K30" s="4542"/>
      <c r="L30" s="4542"/>
      <c r="M30" s="4542"/>
      <c r="N30" s="4542"/>
      <c r="O30" s="4542"/>
      <c r="P30" s="4542"/>
      <c r="Q30" s="4542"/>
      <c r="R30" s="4495"/>
    </row>
    <row r="31" spans="1:18" s="794" customFormat="1" ht="24.75" customHeight="1" x14ac:dyDescent="0.25">
      <c r="A31" s="4482" t="s">
        <v>2758</v>
      </c>
      <c r="B31" s="4482"/>
      <c r="C31" s="4482"/>
      <c r="D31" s="4482"/>
      <c r="E31" s="4482"/>
      <c r="F31" s="4482"/>
      <c r="G31" s="4482"/>
      <c r="H31" s="4482"/>
      <c r="I31" s="4482"/>
      <c r="J31" s="4482"/>
      <c r="K31" s="4482"/>
      <c r="L31" s="4482"/>
      <c r="M31" s="4482"/>
      <c r="N31" s="4482"/>
      <c r="O31" s="4482"/>
      <c r="P31" s="4482"/>
      <c r="Q31" s="4482"/>
      <c r="R31" s="4482"/>
    </row>
    <row r="32" spans="1:18" s="794" customFormat="1" ht="24.75" customHeight="1" x14ac:dyDescent="0.25">
      <c r="A32" s="4504" t="s">
        <v>2759</v>
      </c>
      <c r="B32" s="4505"/>
      <c r="C32" s="4505"/>
      <c r="D32" s="4505"/>
      <c r="E32" s="4505"/>
      <c r="F32" s="4505"/>
      <c r="G32" s="4505"/>
      <c r="H32" s="4505"/>
      <c r="I32" s="4505"/>
      <c r="J32" s="4505"/>
      <c r="K32" s="4505"/>
      <c r="L32" s="4505"/>
      <c r="M32" s="4505"/>
      <c r="N32" s="4505"/>
      <c r="O32" s="4505"/>
      <c r="P32" s="4505"/>
      <c r="Q32" s="4505"/>
      <c r="R32" s="4506"/>
    </row>
    <row r="33" spans="1:18" s="794" customFormat="1" ht="20.25" x14ac:dyDescent="0.25">
      <c r="A33" s="803" t="s">
        <v>2760</v>
      </c>
      <c r="B33" s="802">
        <f>ROUND(11100*(1-E78),2)</f>
        <v>11100</v>
      </c>
      <c r="C33" s="802">
        <f>ROUND(11250*(1-E78),2)</f>
        <v>11250</v>
      </c>
      <c r="D33" s="802">
        <f>ROUND(11500*(1-E78),2)</f>
        <v>11500</v>
      </c>
      <c r="E33" s="802">
        <f>ROUND(12050*(1-E78),2)</f>
        <v>12050</v>
      </c>
      <c r="F33" s="802">
        <f>ROUND(12050*(1-E78),2)</f>
        <v>12050</v>
      </c>
      <c r="G33" s="802">
        <f>ROUND(12400*(1-E78),2)</f>
        <v>12400</v>
      </c>
      <c r="H33" s="802">
        <f>ROUND(12900*(1-E78),2)</f>
        <v>12900</v>
      </c>
      <c r="I33" s="4494">
        <f>ROUND(13750*(1-E78),2)</f>
        <v>13750</v>
      </c>
      <c r="J33" s="4495"/>
      <c r="K33" s="4500">
        <f>ROUND(13450*(1-E78),2)</f>
        <v>13450</v>
      </c>
      <c r="L33" s="4501"/>
      <c r="M33" s="4494">
        <f>ROUND(13900*(1-E78),2)</f>
        <v>13900</v>
      </c>
      <c r="N33" s="4495"/>
      <c r="O33" s="4500">
        <f>ROUND(13800*(1-E78),2)</f>
        <v>13800</v>
      </c>
      <c r="P33" s="4501"/>
      <c r="Q33" s="4500">
        <f>ROUND(14350*(1-E78),2)</f>
        <v>14350</v>
      </c>
      <c r="R33" s="4501"/>
    </row>
    <row r="34" spans="1:18" s="794" customFormat="1" ht="20.25" x14ac:dyDescent="0.25">
      <c r="A34" s="803" t="s">
        <v>2761</v>
      </c>
      <c r="B34" s="802">
        <f>ROUND(9550*(1-E78),2)</f>
        <v>9550</v>
      </c>
      <c r="C34" s="802">
        <f>ROUND(9700*(1-E78),2)</f>
        <v>9700</v>
      </c>
      <c r="D34" s="802">
        <f>ROUND(9850*(1-E78),2)</f>
        <v>9850</v>
      </c>
      <c r="E34" s="802">
        <f>ROUND(10300*(1-E78),2)</f>
        <v>10300</v>
      </c>
      <c r="F34" s="802">
        <f>ROUND(10300*(1-F78),2)</f>
        <v>10300</v>
      </c>
      <c r="G34" s="802">
        <f>ROUND(10600*(1-E78),2)</f>
        <v>10600</v>
      </c>
      <c r="H34" s="802">
        <f>ROUND(10950*(1-E78),2)</f>
        <v>10950</v>
      </c>
      <c r="I34" s="4494">
        <f>ROUND(11600*(1-E78),2)</f>
        <v>11600</v>
      </c>
      <c r="J34" s="4495"/>
      <c r="K34" s="4494">
        <f>ROUND(11350*(1-E78),2)</f>
        <v>11350</v>
      </c>
      <c r="L34" s="4495"/>
      <c r="M34" s="4500">
        <f>ROUND(11700*(1-E78),2)</f>
        <v>11700</v>
      </c>
      <c r="N34" s="4501"/>
      <c r="O34" s="4500">
        <f>ROUND(11650*(1-F78),2)</f>
        <v>11650</v>
      </c>
      <c r="P34" s="4501"/>
      <c r="Q34" s="4500">
        <f>ROUND(12050*(1-G78),2)</f>
        <v>12050</v>
      </c>
      <c r="R34" s="4501"/>
    </row>
    <row r="35" spans="1:18" s="794" customFormat="1" ht="26.25" x14ac:dyDescent="0.25">
      <c r="A35" s="4504" t="s">
        <v>2762</v>
      </c>
      <c r="B35" s="4505"/>
      <c r="C35" s="4505"/>
      <c r="D35" s="4505"/>
      <c r="E35" s="4505"/>
      <c r="F35" s="4505"/>
      <c r="G35" s="4505"/>
      <c r="H35" s="4505"/>
      <c r="I35" s="4505"/>
      <c r="J35" s="4505"/>
      <c r="K35" s="4505"/>
      <c r="L35" s="4505"/>
      <c r="M35" s="4505"/>
      <c r="N35" s="4505"/>
      <c r="O35" s="4505"/>
      <c r="P35" s="4505"/>
      <c r="Q35" s="4505"/>
      <c r="R35" s="4506"/>
    </row>
    <row r="36" spans="1:18" s="794" customFormat="1" ht="20.25" x14ac:dyDescent="0.25">
      <c r="A36" s="1821" t="s">
        <v>2763</v>
      </c>
      <c r="B36" s="802">
        <f>ROUND(14150*(1-E78),2)</f>
        <v>14150</v>
      </c>
      <c r="C36" s="802" t="s">
        <v>17</v>
      </c>
      <c r="D36" s="802">
        <f>ROUND(16150*(1-G78),2)</f>
        <v>16150</v>
      </c>
      <c r="E36" s="802" t="s">
        <v>17</v>
      </c>
      <c r="F36" s="802">
        <f>ROUND(16150*(1-J78),2)</f>
        <v>16150</v>
      </c>
      <c r="G36" s="802">
        <f>ROUND(17000*(1-L78),2)</f>
        <v>17000</v>
      </c>
      <c r="H36" s="802">
        <f>ROUND(18050*(1-N78),2)</f>
        <v>18050</v>
      </c>
      <c r="I36" s="4494">
        <f>ROUND(19900*(1-P78),2)</f>
        <v>19900</v>
      </c>
      <c r="J36" s="4495"/>
      <c r="K36" s="4500" t="s">
        <v>17</v>
      </c>
      <c r="L36" s="4501"/>
      <c r="M36" s="4494">
        <f>ROUND(20250*(1-S78),2)</f>
        <v>20250</v>
      </c>
      <c r="N36" s="4495"/>
      <c r="O36" s="4494">
        <f>ROUND(20100*(1-T78),2)</f>
        <v>20100</v>
      </c>
      <c r="P36" s="4495"/>
      <c r="Q36" s="4494">
        <f>ROUND(21300*(1-U78),2)</f>
        <v>21300</v>
      </c>
      <c r="R36" s="4495"/>
    </row>
    <row r="37" spans="1:18" s="794" customFormat="1" ht="20.25" x14ac:dyDescent="0.25">
      <c r="A37" s="1821" t="s">
        <v>2764</v>
      </c>
      <c r="B37" s="802">
        <f>ROUND(11250*(1-E78),2)</f>
        <v>11250</v>
      </c>
      <c r="C37" s="802" t="s">
        <v>17</v>
      </c>
      <c r="D37" s="802">
        <f>ROUND(12900*(1-G78),2)</f>
        <v>12900</v>
      </c>
      <c r="E37" s="802" t="s">
        <v>17</v>
      </c>
      <c r="F37" s="802">
        <f>ROUND(12900*(1-J78),2)</f>
        <v>12900</v>
      </c>
      <c r="G37" s="802">
        <f>ROUND(13550*(1-L78),2)</f>
        <v>13550</v>
      </c>
      <c r="H37" s="802">
        <f>ROUND(14350*(1-N78),2)</f>
        <v>14350</v>
      </c>
      <c r="I37" s="4494">
        <f>ROUND(15850*(1-P78),2)</f>
        <v>15850</v>
      </c>
      <c r="J37" s="4495"/>
      <c r="K37" s="4500" t="s">
        <v>17</v>
      </c>
      <c r="L37" s="4501"/>
      <c r="M37" s="4494">
        <f>ROUND(16150*(1-S78),2)</f>
        <v>16150</v>
      </c>
      <c r="N37" s="4495"/>
      <c r="O37" s="4494">
        <f>ROUND(16000*(1-T78),2)</f>
        <v>16000</v>
      </c>
      <c r="P37" s="4495"/>
      <c r="Q37" s="4494">
        <f>ROUND(16950*(1-U78),2)</f>
        <v>16950</v>
      </c>
      <c r="R37" s="4495"/>
    </row>
    <row r="38" spans="1:18" s="794" customFormat="1" ht="26.25" x14ac:dyDescent="0.25">
      <c r="A38" s="4504" t="s">
        <v>2717</v>
      </c>
      <c r="B38" s="4505"/>
      <c r="C38" s="4505"/>
      <c r="D38" s="4505"/>
      <c r="E38" s="4505"/>
      <c r="F38" s="4505"/>
      <c r="G38" s="4505"/>
      <c r="H38" s="4505"/>
      <c r="I38" s="4505"/>
      <c r="J38" s="4505"/>
      <c r="K38" s="4505"/>
      <c r="L38" s="4505"/>
      <c r="M38" s="4505"/>
      <c r="N38" s="4505"/>
      <c r="O38" s="4505"/>
      <c r="P38" s="4505"/>
      <c r="Q38" s="4505"/>
      <c r="R38" s="4506"/>
    </row>
    <row r="39" spans="1:18" s="794" customFormat="1" ht="20.25" x14ac:dyDescent="0.25">
      <c r="A39" s="801" t="s">
        <v>2716</v>
      </c>
      <c r="B39" s="4494">
        <f>ROUND(1850*(1-E83),2)</f>
        <v>1850</v>
      </c>
      <c r="C39" s="4542"/>
      <c r="D39" s="4542"/>
      <c r="E39" s="4542"/>
      <c r="F39" s="4542"/>
      <c r="G39" s="4542"/>
      <c r="H39" s="4542"/>
      <c r="I39" s="4542"/>
      <c r="J39" s="4542"/>
      <c r="K39" s="4542"/>
      <c r="L39" s="4542"/>
      <c r="M39" s="4542"/>
      <c r="N39" s="4542"/>
      <c r="O39" s="4542"/>
      <c r="P39" s="4542"/>
      <c r="Q39" s="4542"/>
      <c r="R39" s="4495"/>
    </row>
    <row r="40" spans="1:18" s="794" customFormat="1" ht="20.25" x14ac:dyDescent="0.25">
      <c r="A40" s="803" t="s">
        <v>2718</v>
      </c>
      <c r="B40" s="802">
        <f>ROUND(16350*(1-A78),2)</f>
        <v>16350</v>
      </c>
      <c r="C40" s="802">
        <f>ROUND(16700*(1-B78),2)</f>
        <v>16700</v>
      </c>
      <c r="D40" s="802">
        <f>ROUND(17250*(1-C78),2)</f>
        <v>17250</v>
      </c>
      <c r="E40" s="802">
        <f>ROUND(17800*(1-B78),2)</f>
        <v>17800</v>
      </c>
      <c r="F40" s="802">
        <f>ROUND(17400*(1-B78),2)</f>
        <v>17400</v>
      </c>
      <c r="G40" s="802">
        <f>ROUND(18150*(1-C78),2)</f>
        <v>18150</v>
      </c>
      <c r="H40" s="802">
        <f>ROUND(18700*(1-D78),2)</f>
        <v>18700</v>
      </c>
      <c r="I40" s="4494">
        <f>ROUND(19600*(1-E78),2)</f>
        <v>19600</v>
      </c>
      <c r="J40" s="4495"/>
      <c r="K40" s="4494">
        <f>ROUND(18700*(1-F78),2)</f>
        <v>18700</v>
      </c>
      <c r="L40" s="4495"/>
      <c r="M40" s="4494">
        <f>ROUND(19400*(1-G78),2)</f>
        <v>19400</v>
      </c>
      <c r="N40" s="4495"/>
      <c r="O40" s="4494">
        <f>ROUND(19400*(1-H78),2)</f>
        <v>19400</v>
      </c>
      <c r="P40" s="4495"/>
      <c r="Q40" s="4494">
        <f>ROUND(19950*(1-J78),2)</f>
        <v>19950</v>
      </c>
      <c r="R40" s="4495"/>
    </row>
    <row r="41" spans="1:18" s="794" customFormat="1" ht="20.25" x14ac:dyDescent="0.25">
      <c r="A41" s="803" t="s">
        <v>2719</v>
      </c>
      <c r="B41" s="802">
        <f>ROUND(6200*(1-H78),2)</f>
        <v>6200</v>
      </c>
      <c r="C41" s="802">
        <f>ROUND(6350*(1-J78),2)</f>
        <v>6350</v>
      </c>
      <c r="D41" s="802">
        <f>ROUND(6550*(1-L78),2)</f>
        <v>6550</v>
      </c>
      <c r="E41" s="802">
        <f>ROUND(6750*(1-N78),2)</f>
        <v>6750</v>
      </c>
      <c r="F41" s="802">
        <f>ROUND(6600*(1-P78),2)</f>
        <v>6600</v>
      </c>
      <c r="G41" s="802">
        <f>ROUND(6900*(1-R78),2)</f>
        <v>6900</v>
      </c>
      <c r="H41" s="802">
        <f>ROUND(7100*(1-S78),2)</f>
        <v>7100</v>
      </c>
      <c r="I41" s="4494">
        <f>ROUND(7450*(1-T78),2)</f>
        <v>7450</v>
      </c>
      <c r="J41" s="4495"/>
      <c r="K41" s="4494">
        <f>ROUND(7100*(1-U78),2)</f>
        <v>7100</v>
      </c>
      <c r="L41" s="4495"/>
      <c r="M41" s="4494">
        <f>ROUND(7400*(1-V78),2)</f>
        <v>7400</v>
      </c>
      <c r="N41" s="4495"/>
      <c r="O41" s="4494">
        <f>ROUND(7400*(1-W78),2)</f>
        <v>7400</v>
      </c>
      <c r="P41" s="4495"/>
      <c r="Q41" s="4494">
        <f>ROUND(7600*(1-X78),2)</f>
        <v>7600</v>
      </c>
      <c r="R41" s="4495"/>
    </row>
    <row r="42" spans="1:18" s="794" customFormat="1" ht="26.25" x14ac:dyDescent="0.25">
      <c r="A42" s="4482" t="s">
        <v>2830</v>
      </c>
      <c r="B42" s="4482"/>
      <c r="C42" s="4482"/>
      <c r="D42" s="4482"/>
      <c r="E42" s="4482"/>
      <c r="F42" s="4482"/>
      <c r="G42" s="4482"/>
      <c r="H42" s="4482"/>
      <c r="I42" s="4482"/>
      <c r="J42" s="4482"/>
      <c r="K42" s="4482"/>
      <c r="L42" s="4482"/>
      <c r="M42" s="4482"/>
      <c r="N42" s="4482"/>
      <c r="O42" s="4482"/>
      <c r="P42" s="4482"/>
      <c r="Q42" s="4482"/>
      <c r="R42" s="4482"/>
    </row>
    <row r="43" spans="1:18" s="794" customFormat="1" ht="20.25" customHeight="1" x14ac:dyDescent="0.25">
      <c r="A43" s="803" t="s">
        <v>2765</v>
      </c>
      <c r="B43" s="4494" t="s">
        <v>17</v>
      </c>
      <c r="C43" s="4542"/>
      <c r="D43" s="4542"/>
      <c r="E43" s="4542"/>
      <c r="F43" s="4542"/>
      <c r="G43" s="4495"/>
      <c r="H43" s="802">
        <f>ROUND(53150*(1-B76),2)</f>
        <v>53150</v>
      </c>
      <c r="I43" s="4494" t="s">
        <v>17</v>
      </c>
      <c r="J43" s="4542"/>
      <c r="K43" s="4542"/>
      <c r="L43" s="4542"/>
      <c r="M43" s="4542"/>
      <c r="N43" s="4542"/>
      <c r="O43" s="4542"/>
      <c r="P43" s="4542"/>
      <c r="Q43" s="4495"/>
      <c r="R43" s="802">
        <f>ROUND(68050*(1-G76),2)</f>
        <v>68050</v>
      </c>
    </row>
    <row r="44" spans="1:18" s="794" customFormat="1" ht="20.25" customHeight="1" x14ac:dyDescent="0.25">
      <c r="A44" s="803" t="s">
        <v>2766</v>
      </c>
      <c r="B44" s="4494" t="s">
        <v>17</v>
      </c>
      <c r="C44" s="4542"/>
      <c r="D44" s="4495"/>
      <c r="E44" s="802">
        <f>ROUND(45400*(1-E78),2)</f>
        <v>45400</v>
      </c>
      <c r="F44" s="4494" t="s">
        <v>17</v>
      </c>
      <c r="G44" s="4542"/>
      <c r="H44" s="4542"/>
      <c r="I44" s="4542"/>
      <c r="J44" s="4542"/>
      <c r="K44" s="4542"/>
      <c r="L44" s="4542"/>
      <c r="M44" s="4542"/>
      <c r="N44" s="4542"/>
      <c r="O44" s="4542"/>
      <c r="P44" s="4542"/>
      <c r="Q44" s="4542"/>
      <c r="R44" s="4495"/>
    </row>
    <row r="45" spans="1:18" s="794" customFormat="1" ht="20.25" customHeight="1" x14ac:dyDescent="0.25">
      <c r="A45" s="799" t="s">
        <v>399</v>
      </c>
      <c r="B45" s="800" t="s">
        <v>2767</v>
      </c>
      <c r="C45" s="800" t="s">
        <v>2768</v>
      </c>
      <c r="D45" s="800" t="s">
        <v>2769</v>
      </c>
      <c r="E45" s="800" t="s">
        <v>2770</v>
      </c>
      <c r="F45" s="800" t="s">
        <v>2771</v>
      </c>
      <c r="G45" s="800" t="s">
        <v>2772</v>
      </c>
      <c r="H45" s="800" t="s">
        <v>2773</v>
      </c>
      <c r="I45" s="800" t="s">
        <v>2774</v>
      </c>
      <c r="J45" s="800" t="s">
        <v>2775</v>
      </c>
      <c r="K45" s="800" t="s">
        <v>2776</v>
      </c>
      <c r="L45" s="800" t="s">
        <v>2777</v>
      </c>
      <c r="M45" s="800" t="s">
        <v>2778</v>
      </c>
      <c r="N45" s="800" t="s">
        <v>2779</v>
      </c>
      <c r="O45" s="800" t="s">
        <v>2780</v>
      </c>
      <c r="P45" s="800" t="s">
        <v>2744</v>
      </c>
      <c r="Q45" s="800" t="s">
        <v>2745</v>
      </c>
      <c r="R45" s="800" t="s">
        <v>2781</v>
      </c>
    </row>
    <row r="46" spans="1:18" s="794" customFormat="1" ht="20.25" customHeight="1" x14ac:dyDescent="0.25">
      <c r="A46" s="799" t="s">
        <v>1282</v>
      </c>
      <c r="B46" s="1782" t="s">
        <v>2782</v>
      </c>
      <c r="C46" s="1782" t="s">
        <v>2783</v>
      </c>
      <c r="D46" s="1782" t="s">
        <v>2784</v>
      </c>
      <c r="E46" s="1782" t="s">
        <v>1287</v>
      </c>
      <c r="F46" s="1782" t="s">
        <v>1288</v>
      </c>
      <c r="G46" s="1782" t="s">
        <v>1289</v>
      </c>
      <c r="H46" s="1782" t="s">
        <v>1290</v>
      </c>
      <c r="I46" s="1782" t="s">
        <v>2782</v>
      </c>
      <c r="J46" s="1782" t="s">
        <v>2785</v>
      </c>
      <c r="K46" s="1782" t="s">
        <v>2786</v>
      </c>
      <c r="L46" s="1782" t="s">
        <v>2787</v>
      </c>
      <c r="M46" s="1782" t="s">
        <v>2788</v>
      </c>
      <c r="N46" s="1782" t="s">
        <v>2789</v>
      </c>
      <c r="O46" s="1782" t="s">
        <v>2790</v>
      </c>
      <c r="P46" s="1782" t="s">
        <v>1293</v>
      </c>
      <c r="Q46" s="1782" t="s">
        <v>1294</v>
      </c>
      <c r="R46" s="1782" t="s">
        <v>2791</v>
      </c>
    </row>
    <row r="47" spans="1:18" s="794" customFormat="1" ht="20.25" customHeight="1" x14ac:dyDescent="0.25">
      <c r="A47" s="803" t="s">
        <v>2792</v>
      </c>
      <c r="B47" s="802" t="s">
        <v>17</v>
      </c>
      <c r="C47" s="802">
        <f>ROUND(45050*(1-E78),2)</f>
        <v>45050</v>
      </c>
      <c r="D47" s="802" t="s">
        <v>17</v>
      </c>
      <c r="E47" s="802" t="s">
        <v>17</v>
      </c>
      <c r="F47" s="802" t="s">
        <v>17</v>
      </c>
      <c r="G47" s="802" t="s">
        <v>17</v>
      </c>
      <c r="H47" s="802" t="s">
        <v>17</v>
      </c>
      <c r="I47" s="802" t="s">
        <v>17</v>
      </c>
      <c r="J47" s="802" t="s">
        <v>17</v>
      </c>
      <c r="K47" s="802">
        <f>ROUND(52100*(1-M78),2)</f>
        <v>52100</v>
      </c>
      <c r="L47" s="802" t="s">
        <v>17</v>
      </c>
      <c r="M47" s="802" t="s">
        <v>17</v>
      </c>
      <c r="N47" s="802" t="s">
        <v>17</v>
      </c>
      <c r="O47" s="802" t="s">
        <v>17</v>
      </c>
      <c r="P47" s="802" t="s">
        <v>17</v>
      </c>
      <c r="Q47" s="802" t="s">
        <v>17</v>
      </c>
      <c r="R47" s="802"/>
    </row>
    <row r="48" spans="1:18" s="794" customFormat="1" ht="20.25" customHeight="1" x14ac:dyDescent="0.25">
      <c r="A48" s="803" t="s">
        <v>2793</v>
      </c>
      <c r="B48" s="802" t="s">
        <v>17</v>
      </c>
      <c r="C48" s="802" t="s">
        <v>17</v>
      </c>
      <c r="D48" s="802" t="s">
        <v>17</v>
      </c>
      <c r="E48" s="802" t="s">
        <v>17</v>
      </c>
      <c r="F48" s="802" t="s">
        <v>17</v>
      </c>
      <c r="G48" s="802" t="s">
        <v>17</v>
      </c>
      <c r="H48" s="802" t="s">
        <v>17</v>
      </c>
      <c r="I48" s="802" t="s">
        <v>17</v>
      </c>
      <c r="J48" s="802" t="s">
        <v>17</v>
      </c>
      <c r="K48" s="802" t="s">
        <v>17</v>
      </c>
      <c r="L48" s="802" t="s">
        <v>17</v>
      </c>
      <c r="M48" s="802">
        <f>ROUND(225000*(1-O79),2)</f>
        <v>225000</v>
      </c>
      <c r="N48" s="802" t="s">
        <v>17</v>
      </c>
      <c r="O48" s="802" t="s">
        <v>17</v>
      </c>
      <c r="P48" s="802" t="s">
        <v>17</v>
      </c>
      <c r="Q48" s="802" t="s">
        <v>17</v>
      </c>
      <c r="R48" s="802">
        <f>ROUND(232000*(1-T79),2)</f>
        <v>232000</v>
      </c>
    </row>
    <row r="49" spans="1:18" s="794" customFormat="1" ht="20.25" customHeight="1" x14ac:dyDescent="0.25">
      <c r="A49" s="803" t="s">
        <v>2794</v>
      </c>
      <c r="B49" s="802" t="s">
        <v>17</v>
      </c>
      <c r="C49" s="802" t="s">
        <v>17</v>
      </c>
      <c r="D49" s="802" t="s">
        <v>17</v>
      </c>
      <c r="E49" s="802" t="s">
        <v>17</v>
      </c>
      <c r="F49" s="802" t="s">
        <v>17</v>
      </c>
      <c r="G49" s="802" t="s">
        <v>17</v>
      </c>
      <c r="H49" s="802" t="s">
        <v>17</v>
      </c>
      <c r="I49" s="802" t="s">
        <v>17</v>
      </c>
      <c r="J49" s="802" t="s">
        <v>17</v>
      </c>
      <c r="K49" s="802" t="s">
        <v>17</v>
      </c>
      <c r="L49" s="802" t="s">
        <v>17</v>
      </c>
      <c r="M49" s="802">
        <f>ROUND(14350*(1-O80),2)</f>
        <v>14350</v>
      </c>
      <c r="N49" s="802" t="s">
        <v>17</v>
      </c>
      <c r="O49" s="802" t="s">
        <v>17</v>
      </c>
      <c r="P49" s="802" t="s">
        <v>17</v>
      </c>
      <c r="Q49" s="802" t="s">
        <v>17</v>
      </c>
      <c r="R49" s="802">
        <f>ROUND(14750*(1-T80),2)</f>
        <v>14750</v>
      </c>
    </row>
    <row r="50" spans="1:18" s="794" customFormat="1" ht="20.25" customHeight="1" x14ac:dyDescent="0.25">
      <c r="A50" s="1830" t="s">
        <v>2795</v>
      </c>
      <c r="B50" s="802" t="s">
        <v>17</v>
      </c>
      <c r="C50" s="802" t="s">
        <v>17</v>
      </c>
      <c r="D50" s="802" t="s">
        <v>17</v>
      </c>
      <c r="E50" s="802" t="s">
        <v>17</v>
      </c>
      <c r="F50" s="802" t="s">
        <v>17</v>
      </c>
      <c r="G50" s="802" t="s">
        <v>17</v>
      </c>
      <c r="H50" s="802" t="s">
        <v>17</v>
      </c>
      <c r="I50" s="802" t="s">
        <v>17</v>
      </c>
      <c r="J50" s="802" t="s">
        <v>17</v>
      </c>
      <c r="K50" s="802" t="s">
        <v>17</v>
      </c>
      <c r="L50" s="802" t="s">
        <v>17</v>
      </c>
      <c r="M50" s="802">
        <f>ROUND(11000*(1-O81),2)</f>
        <v>11000</v>
      </c>
      <c r="N50" s="802" t="s">
        <v>17</v>
      </c>
      <c r="O50" s="802" t="s">
        <v>17</v>
      </c>
      <c r="P50" s="802" t="s">
        <v>17</v>
      </c>
      <c r="Q50" s="802" t="s">
        <v>17</v>
      </c>
      <c r="R50" s="802">
        <f>ROUND(11250*(1-T81),2)</f>
        <v>11250</v>
      </c>
    </row>
    <row r="51" spans="1:18" s="794" customFormat="1" ht="20.25" customHeight="1" x14ac:dyDescent="0.25">
      <c r="A51" s="803" t="s">
        <v>2796</v>
      </c>
      <c r="B51" s="802">
        <f>ROUND(43950*(1-D82),2)</f>
        <v>43950</v>
      </c>
      <c r="C51" s="802" t="s">
        <v>17</v>
      </c>
      <c r="D51" s="802">
        <f>ROUND(50250*(1-F82),2)</f>
        <v>50250</v>
      </c>
      <c r="E51" s="802" t="s">
        <v>17</v>
      </c>
      <c r="F51" s="802" t="s">
        <v>17</v>
      </c>
      <c r="G51" s="802" t="s">
        <v>17</v>
      </c>
      <c r="H51" s="802" t="s">
        <v>17</v>
      </c>
      <c r="I51" s="802" t="s">
        <v>17</v>
      </c>
      <c r="J51" s="802">
        <f>ROUND(48300*(1-L82),2)</f>
        <v>48300</v>
      </c>
      <c r="K51" s="802" t="s">
        <v>17</v>
      </c>
      <c r="L51" s="802">
        <f>ROUND(56050*(1-N82),2)</f>
        <v>56050</v>
      </c>
      <c r="M51" s="802" t="s">
        <v>17</v>
      </c>
      <c r="N51" s="802">
        <f>ROUND(56500*(1-P82),2)</f>
        <v>56500</v>
      </c>
      <c r="O51" s="802">
        <f>ROUND(61350*(1-Q82),2)</f>
        <v>61350</v>
      </c>
      <c r="P51" s="802" t="s">
        <v>17</v>
      </c>
      <c r="Q51" s="802" t="s">
        <v>17</v>
      </c>
      <c r="R51" s="802" t="s">
        <v>17</v>
      </c>
    </row>
    <row r="52" spans="1:18" s="794" customFormat="1" ht="20.25" customHeight="1" x14ac:dyDescent="0.25">
      <c r="A52" s="803" t="s">
        <v>2797</v>
      </c>
      <c r="B52" s="802" t="s">
        <v>17</v>
      </c>
      <c r="C52" s="802" t="s">
        <v>17</v>
      </c>
      <c r="D52" s="802" t="s">
        <v>17</v>
      </c>
      <c r="E52" s="802">
        <f>ROUND(9900*(1-G83),2)</f>
        <v>9900</v>
      </c>
      <c r="F52" s="802">
        <f>ROUND(11100*(1-H83),2)</f>
        <v>11100</v>
      </c>
      <c r="G52" s="802">
        <f>ROUND(12100*(1-I83),2)</f>
        <v>12100</v>
      </c>
      <c r="H52" s="802">
        <f>ROUND(14100*(1-J83),2)</f>
        <v>14100</v>
      </c>
      <c r="I52" s="802">
        <f>ROUND(13200*(1-K83),2)</f>
        <v>13200</v>
      </c>
      <c r="J52" s="802" t="s">
        <v>17</v>
      </c>
      <c r="K52" s="802" t="s">
        <v>17</v>
      </c>
      <c r="L52" s="802" t="s">
        <v>17</v>
      </c>
      <c r="M52" s="802" t="s">
        <v>17</v>
      </c>
      <c r="N52" s="802" t="s">
        <v>17</v>
      </c>
      <c r="O52" s="802" t="s">
        <v>17</v>
      </c>
      <c r="P52" s="802">
        <f>ROUND(13100*(1-R83),2)</f>
        <v>13100</v>
      </c>
      <c r="Q52" s="802">
        <f>ROUND(14450*(1-S83),2)</f>
        <v>14450</v>
      </c>
      <c r="R52" s="802" t="s">
        <v>17</v>
      </c>
    </row>
    <row r="53" spans="1:18" s="794" customFormat="1" ht="20.25" customHeight="1" x14ac:dyDescent="0.25">
      <c r="A53" s="803" t="s">
        <v>2798</v>
      </c>
      <c r="B53" s="802"/>
      <c r="C53" s="802"/>
      <c r="D53" s="802"/>
      <c r="E53" s="802">
        <f>ROUND(9500*(1-G84),2)</f>
        <v>9500</v>
      </c>
      <c r="F53" s="802">
        <f>ROUND(10150*(1-H84),2)</f>
        <v>10150</v>
      </c>
      <c r="G53" s="802">
        <f>ROUND(11100*(1-I84),2)</f>
        <v>11100</v>
      </c>
      <c r="H53" s="802">
        <f>ROUND(12900*(1-J84),2)</f>
        <v>12900</v>
      </c>
      <c r="I53" s="802">
        <f>ROUND(12100*(1-K84),2)</f>
        <v>12100</v>
      </c>
      <c r="J53" s="802" t="s">
        <v>17</v>
      </c>
      <c r="K53" s="802" t="s">
        <v>17</v>
      </c>
      <c r="L53" s="802" t="s">
        <v>17</v>
      </c>
      <c r="M53" s="802" t="s">
        <v>17</v>
      </c>
      <c r="N53" s="802" t="s">
        <v>17</v>
      </c>
      <c r="O53" s="802" t="s">
        <v>17</v>
      </c>
      <c r="P53" s="802">
        <f>ROUND(1200*(1-R84),2)</f>
        <v>1200</v>
      </c>
      <c r="Q53" s="802">
        <f>ROUND(13200*(1-S84),2)</f>
        <v>13200</v>
      </c>
      <c r="R53" s="802" t="s">
        <v>17</v>
      </c>
    </row>
    <row r="54" spans="1:18" s="794" customFormat="1" ht="26.25" x14ac:dyDescent="0.25">
      <c r="A54" s="4482" t="s">
        <v>2799</v>
      </c>
      <c r="B54" s="4482"/>
      <c r="C54" s="4482"/>
      <c r="D54" s="4482"/>
      <c r="E54" s="4482"/>
      <c r="F54" s="4482"/>
      <c r="G54" s="4482"/>
      <c r="H54" s="4482"/>
      <c r="I54" s="4482"/>
      <c r="J54" s="4482"/>
      <c r="K54" s="4482"/>
      <c r="L54" s="4482"/>
      <c r="M54" s="4543"/>
      <c r="N54" s="4543"/>
      <c r="O54" s="4482"/>
      <c r="P54" s="4482"/>
      <c r="Q54" s="4482"/>
      <c r="R54" s="4482"/>
    </row>
    <row r="55" spans="1:18" s="794" customFormat="1" ht="20.25" customHeight="1" x14ac:dyDescent="0.25">
      <c r="A55" s="803" t="s">
        <v>2800</v>
      </c>
      <c r="B55" s="802">
        <v>4150</v>
      </c>
      <c r="C55" s="802">
        <v>4400</v>
      </c>
      <c r="D55" s="802">
        <v>4800</v>
      </c>
      <c r="E55" s="802">
        <v>5150</v>
      </c>
      <c r="F55" s="802">
        <v>5000</v>
      </c>
      <c r="G55" s="802">
        <v>5350</v>
      </c>
      <c r="H55" s="802">
        <v>5750</v>
      </c>
      <c r="I55" s="4485">
        <v>6450</v>
      </c>
      <c r="J55" s="4485"/>
      <c r="K55" s="4485">
        <v>5900</v>
      </c>
      <c r="L55" s="4485"/>
      <c r="M55" s="4485">
        <v>64500</v>
      </c>
      <c r="N55" s="4485"/>
      <c r="O55" s="4542">
        <v>6700</v>
      </c>
      <c r="P55" s="4495"/>
      <c r="Q55" s="4494">
        <v>7000</v>
      </c>
      <c r="R55" s="4495"/>
    </row>
    <row r="56" spans="1:18" s="794" customFormat="1" ht="20.25" customHeight="1" x14ac:dyDescent="0.25">
      <c r="A56" s="803" t="s">
        <v>2801</v>
      </c>
      <c r="B56" s="802">
        <v>2250</v>
      </c>
      <c r="C56" s="802">
        <v>2250</v>
      </c>
      <c r="D56" s="802">
        <v>2650</v>
      </c>
      <c r="E56" s="802">
        <v>2650</v>
      </c>
      <c r="F56" s="802">
        <v>2950</v>
      </c>
      <c r="G56" s="802">
        <v>2950</v>
      </c>
      <c r="H56" s="802">
        <v>2950</v>
      </c>
      <c r="I56" s="4485">
        <v>2950</v>
      </c>
      <c r="J56" s="4485"/>
      <c r="K56" s="4485">
        <v>3500</v>
      </c>
      <c r="L56" s="4485"/>
      <c r="M56" s="4485">
        <v>3500</v>
      </c>
      <c r="N56" s="4485"/>
      <c r="O56" s="4542">
        <v>3850</v>
      </c>
      <c r="P56" s="4495"/>
      <c r="Q56" s="4494">
        <v>3850</v>
      </c>
      <c r="R56" s="4495"/>
    </row>
    <row r="57" spans="1:18" s="794" customFormat="1" ht="20.25" customHeight="1" x14ac:dyDescent="0.25">
      <c r="A57" s="803" t="s">
        <v>2802</v>
      </c>
      <c r="B57" s="802">
        <v>16800</v>
      </c>
      <c r="C57" s="802">
        <v>17050</v>
      </c>
      <c r="D57" s="802">
        <v>17450</v>
      </c>
      <c r="E57" s="802">
        <v>17800</v>
      </c>
      <c r="F57" s="802">
        <v>17650</v>
      </c>
      <c r="G57" s="802">
        <v>18000</v>
      </c>
      <c r="H57" s="802">
        <v>18400</v>
      </c>
      <c r="I57" s="4485">
        <v>19100</v>
      </c>
      <c r="J57" s="4485"/>
      <c r="K57" s="4485">
        <v>18550</v>
      </c>
      <c r="L57" s="4485"/>
      <c r="M57" s="4485">
        <v>19100</v>
      </c>
      <c r="N57" s="4485"/>
      <c r="O57" s="4542">
        <v>19350</v>
      </c>
      <c r="P57" s="4495"/>
      <c r="Q57" s="4494">
        <v>19650</v>
      </c>
      <c r="R57" s="4495"/>
    </row>
    <row r="58" spans="1:18" s="794" customFormat="1" ht="20.25" customHeight="1" x14ac:dyDescent="0.25">
      <c r="A58" s="803" t="s">
        <v>2803</v>
      </c>
      <c r="B58" s="802">
        <v>5050</v>
      </c>
      <c r="C58" s="802">
        <v>5350</v>
      </c>
      <c r="D58" s="802">
        <v>5850</v>
      </c>
      <c r="E58" s="802">
        <v>6300</v>
      </c>
      <c r="F58" s="802">
        <v>6100</v>
      </c>
      <c r="G58" s="802">
        <v>6550</v>
      </c>
      <c r="H58" s="802">
        <v>7000</v>
      </c>
      <c r="I58" s="4485">
        <v>7850</v>
      </c>
      <c r="J58" s="4485"/>
      <c r="K58" s="4485">
        <v>7200</v>
      </c>
      <c r="L58" s="4485"/>
      <c r="M58" s="4485">
        <v>7850</v>
      </c>
      <c r="N58" s="4485"/>
      <c r="O58" s="4542">
        <v>8200</v>
      </c>
      <c r="P58" s="4495"/>
      <c r="Q58" s="4494">
        <v>8500</v>
      </c>
      <c r="R58" s="4495"/>
    </row>
    <row r="59" spans="1:18" s="794" customFormat="1" ht="20.25" customHeight="1" x14ac:dyDescent="0.25">
      <c r="A59" s="803" t="s">
        <v>2804</v>
      </c>
      <c r="B59" s="802">
        <v>6450</v>
      </c>
      <c r="C59" s="802">
        <v>6850</v>
      </c>
      <c r="D59" s="802">
        <v>7450</v>
      </c>
      <c r="E59" s="802">
        <v>8050</v>
      </c>
      <c r="F59" s="802">
        <v>7800</v>
      </c>
      <c r="G59" s="802">
        <v>8400</v>
      </c>
      <c r="H59" s="802">
        <v>8950</v>
      </c>
      <c r="I59" s="4485">
        <v>10500</v>
      </c>
      <c r="J59" s="4485"/>
      <c r="K59" s="4485">
        <v>9200</v>
      </c>
      <c r="L59" s="4485"/>
      <c r="M59" s="4485">
        <v>10500</v>
      </c>
      <c r="N59" s="4485"/>
      <c r="O59" s="4542">
        <v>10500</v>
      </c>
      <c r="P59" s="4495"/>
      <c r="Q59" s="4494">
        <v>10900</v>
      </c>
      <c r="R59" s="4495"/>
    </row>
    <row r="60" spans="1:18" s="794" customFormat="1" ht="20.25" customHeight="1" x14ac:dyDescent="0.25">
      <c r="A60" s="803" t="s">
        <v>2805</v>
      </c>
      <c r="B60" s="802">
        <v>6050</v>
      </c>
      <c r="C60" s="802">
        <v>6450</v>
      </c>
      <c r="D60" s="802">
        <v>7000</v>
      </c>
      <c r="E60" s="802">
        <v>7550</v>
      </c>
      <c r="F60" s="802">
        <v>7300</v>
      </c>
      <c r="G60" s="802">
        <v>7850</v>
      </c>
      <c r="H60" s="802">
        <v>8400</v>
      </c>
      <c r="I60" s="4485">
        <v>9450</v>
      </c>
      <c r="J60" s="4485"/>
      <c r="K60" s="4485">
        <v>8650</v>
      </c>
      <c r="L60" s="4485"/>
      <c r="M60" s="4485">
        <v>9450</v>
      </c>
      <c r="N60" s="4485"/>
      <c r="O60" s="4542">
        <v>9850</v>
      </c>
      <c r="P60" s="4495"/>
      <c r="Q60" s="4494">
        <v>10200</v>
      </c>
      <c r="R60" s="4495"/>
    </row>
    <row r="61" spans="1:18" s="794" customFormat="1" ht="20.25" customHeight="1" x14ac:dyDescent="0.25">
      <c r="A61" s="803" t="s">
        <v>2806</v>
      </c>
      <c r="B61" s="802">
        <v>20050</v>
      </c>
      <c r="C61" s="802">
        <v>20450</v>
      </c>
      <c r="D61" s="802">
        <v>21000</v>
      </c>
      <c r="E61" s="802">
        <v>21550</v>
      </c>
      <c r="F61" s="802">
        <v>21300</v>
      </c>
      <c r="G61" s="802">
        <v>21850</v>
      </c>
      <c r="H61" s="802">
        <v>22400</v>
      </c>
      <c r="I61" s="4485">
        <v>23450</v>
      </c>
      <c r="J61" s="4485"/>
      <c r="K61" s="4485">
        <v>22650</v>
      </c>
      <c r="L61" s="4485"/>
      <c r="M61" s="4485">
        <v>23450</v>
      </c>
      <c r="N61" s="4485"/>
      <c r="O61" s="4542">
        <v>23850</v>
      </c>
      <c r="P61" s="4495"/>
      <c r="Q61" s="4494">
        <v>24200</v>
      </c>
      <c r="R61" s="4495"/>
    </row>
    <row r="62" spans="1:18" s="794" customFormat="1" ht="20.25" customHeight="1" x14ac:dyDescent="0.25">
      <c r="A62" s="803" t="s">
        <v>2807</v>
      </c>
      <c r="B62" s="802">
        <v>3200</v>
      </c>
      <c r="C62" s="802">
        <v>3200</v>
      </c>
      <c r="D62" s="802">
        <v>3750</v>
      </c>
      <c r="E62" s="802">
        <v>3750</v>
      </c>
      <c r="F62" s="802">
        <v>4150</v>
      </c>
      <c r="G62" s="802">
        <v>4150</v>
      </c>
      <c r="H62" s="802">
        <v>4150</v>
      </c>
      <c r="I62" s="4485">
        <v>4150</v>
      </c>
      <c r="J62" s="4485"/>
      <c r="K62" s="4485">
        <v>4900</v>
      </c>
      <c r="L62" s="4485"/>
      <c r="M62" s="4485">
        <v>4900</v>
      </c>
      <c r="N62" s="4485"/>
      <c r="O62" s="4542">
        <v>5450</v>
      </c>
      <c r="P62" s="4495"/>
      <c r="Q62" s="4494">
        <v>5450</v>
      </c>
      <c r="R62" s="4495"/>
    </row>
    <row r="63" spans="1:18" s="794" customFormat="1" ht="20.25" customHeight="1" x14ac:dyDescent="0.25">
      <c r="A63" s="803" t="s">
        <v>2808</v>
      </c>
      <c r="B63" s="802">
        <v>3200</v>
      </c>
      <c r="C63" s="802">
        <v>3200</v>
      </c>
      <c r="D63" s="802">
        <v>3750</v>
      </c>
      <c r="E63" s="802">
        <v>3750</v>
      </c>
      <c r="F63" s="802">
        <v>4150</v>
      </c>
      <c r="G63" s="802">
        <v>4150</v>
      </c>
      <c r="H63" s="802">
        <v>4150</v>
      </c>
      <c r="I63" s="4485">
        <v>4150</v>
      </c>
      <c r="J63" s="4485"/>
      <c r="K63" s="4485">
        <v>4900</v>
      </c>
      <c r="L63" s="4485"/>
      <c r="M63" s="4485">
        <v>4900</v>
      </c>
      <c r="N63" s="4485"/>
      <c r="O63" s="4542">
        <v>5450</v>
      </c>
      <c r="P63" s="4495"/>
      <c r="Q63" s="4494">
        <v>5450</v>
      </c>
      <c r="R63" s="4495"/>
    </row>
    <row r="64" spans="1:18" s="794" customFormat="1" ht="20.25" customHeight="1" x14ac:dyDescent="0.25">
      <c r="A64" s="803" t="s">
        <v>2809</v>
      </c>
      <c r="B64" s="802">
        <v>23100</v>
      </c>
      <c r="C64" s="802">
        <v>24500</v>
      </c>
      <c r="D64" s="802">
        <v>25300</v>
      </c>
      <c r="E64" s="802">
        <v>26400</v>
      </c>
      <c r="F64" s="802">
        <v>26100</v>
      </c>
      <c r="G64" s="802">
        <v>27500</v>
      </c>
      <c r="H64" s="802">
        <v>28900</v>
      </c>
      <c r="I64" s="4485">
        <v>30300</v>
      </c>
      <c r="J64" s="4485"/>
      <c r="K64" s="4485">
        <v>29700</v>
      </c>
      <c r="L64" s="4485"/>
      <c r="M64" s="4485">
        <v>31300</v>
      </c>
      <c r="N64" s="4485"/>
      <c r="O64" s="4542">
        <v>31900</v>
      </c>
      <c r="P64" s="4495"/>
      <c r="Q64" s="4494">
        <v>34100</v>
      </c>
      <c r="R64" s="4495"/>
    </row>
    <row r="65" spans="1:19" s="794" customFormat="1" ht="20.25" customHeight="1" x14ac:dyDescent="0.25">
      <c r="A65" s="803" t="s">
        <v>2810</v>
      </c>
      <c r="B65" s="802">
        <v>6350</v>
      </c>
      <c r="C65" s="802">
        <v>6350</v>
      </c>
      <c r="D65" s="802">
        <v>7700</v>
      </c>
      <c r="E65" s="802">
        <v>7700</v>
      </c>
      <c r="F65" s="802">
        <v>7700</v>
      </c>
      <c r="G65" s="802">
        <v>7700</v>
      </c>
      <c r="H65" s="802">
        <v>8700</v>
      </c>
      <c r="I65" s="4485">
        <v>8700</v>
      </c>
      <c r="J65" s="4485"/>
      <c r="K65" s="4485">
        <v>8700</v>
      </c>
      <c r="L65" s="4485"/>
      <c r="M65" s="4485">
        <v>10200</v>
      </c>
      <c r="N65" s="4485"/>
      <c r="O65" s="4542">
        <v>10050</v>
      </c>
      <c r="P65" s="4495"/>
      <c r="Q65" s="4494">
        <v>11000</v>
      </c>
      <c r="R65" s="4495"/>
    </row>
    <row r="66" spans="1:19" s="794" customFormat="1" ht="26.25" x14ac:dyDescent="0.25">
      <c r="A66" s="4482" t="s">
        <v>2811</v>
      </c>
      <c r="B66" s="4482"/>
      <c r="C66" s="4482"/>
      <c r="D66" s="4482"/>
      <c r="E66" s="4482"/>
      <c r="F66" s="4482"/>
      <c r="G66" s="4482"/>
      <c r="H66" s="4482"/>
      <c r="I66" s="4482"/>
      <c r="J66" s="4482"/>
      <c r="K66" s="4482"/>
      <c r="L66" s="4482"/>
      <c r="M66" s="4544"/>
      <c r="N66" s="4544"/>
      <c r="O66" s="4482"/>
      <c r="P66" s="4482"/>
      <c r="Q66" s="4482"/>
      <c r="R66" s="4482"/>
    </row>
    <row r="67" spans="1:19" s="794" customFormat="1" ht="20.25" customHeight="1" x14ac:dyDescent="0.25">
      <c r="A67" s="803" t="s">
        <v>2812</v>
      </c>
      <c r="B67" s="4494">
        <f>ROUND(1700*(1-H78),2)</f>
        <v>1700</v>
      </c>
      <c r="C67" s="4542"/>
      <c r="D67" s="4542"/>
      <c r="E67" s="4542"/>
      <c r="F67" s="4542"/>
      <c r="G67" s="4542"/>
      <c r="H67" s="4542"/>
      <c r="I67" s="4542"/>
      <c r="J67" s="4542"/>
      <c r="K67" s="4542"/>
      <c r="L67" s="4542"/>
      <c r="M67" s="4542"/>
      <c r="N67" s="4542"/>
      <c r="O67" s="4542"/>
      <c r="P67" s="4542"/>
      <c r="Q67" s="4542"/>
      <c r="R67" s="4495"/>
    </row>
    <row r="68" spans="1:19" s="794" customFormat="1" ht="20.25" customHeight="1" x14ac:dyDescent="0.25">
      <c r="A68" s="803" t="s">
        <v>2813</v>
      </c>
      <c r="B68" s="4494">
        <f>ROUND(850*(1-H78),2)</f>
        <v>850</v>
      </c>
      <c r="C68" s="4542"/>
      <c r="D68" s="4542"/>
      <c r="E68" s="4542"/>
      <c r="F68" s="4542"/>
      <c r="G68" s="4542"/>
      <c r="H68" s="4542"/>
      <c r="I68" s="4542"/>
      <c r="J68" s="4542"/>
      <c r="K68" s="4542"/>
      <c r="L68" s="4542"/>
      <c r="M68" s="4542"/>
      <c r="N68" s="4542"/>
      <c r="O68" s="4542"/>
      <c r="P68" s="4542"/>
      <c r="Q68" s="4542"/>
      <c r="R68" s="4495"/>
    </row>
    <row r="69" spans="1:19" s="794" customFormat="1" ht="20.25" customHeight="1" x14ac:dyDescent="0.25">
      <c r="A69" s="803" t="s">
        <v>2814</v>
      </c>
      <c r="B69" s="4494">
        <f>ROUND(1250*(1-H78),2)</f>
        <v>1250</v>
      </c>
      <c r="C69" s="4542"/>
      <c r="D69" s="4542"/>
      <c r="E69" s="4542"/>
      <c r="F69" s="4542"/>
      <c r="G69" s="4542"/>
      <c r="H69" s="4542"/>
      <c r="I69" s="4542"/>
      <c r="J69" s="4542"/>
      <c r="K69" s="4542"/>
      <c r="L69" s="4542"/>
      <c r="M69" s="4542"/>
      <c r="N69" s="4542"/>
      <c r="O69" s="4542"/>
      <c r="P69" s="4542"/>
      <c r="Q69" s="4542"/>
      <c r="R69" s="4495"/>
    </row>
    <row r="70" spans="1:19" s="794" customFormat="1" ht="20.25" customHeight="1" x14ac:dyDescent="0.25">
      <c r="A70" s="803" t="s">
        <v>2815</v>
      </c>
      <c r="B70" s="4494">
        <f>ROUND(550*(1-H78),2)</f>
        <v>550</v>
      </c>
      <c r="C70" s="4542"/>
      <c r="D70" s="4542"/>
      <c r="E70" s="4542"/>
      <c r="F70" s="4542"/>
      <c r="G70" s="4542"/>
      <c r="H70" s="4542"/>
      <c r="I70" s="4542"/>
      <c r="J70" s="4542"/>
      <c r="K70" s="4542"/>
      <c r="L70" s="4542"/>
      <c r="M70" s="4542"/>
      <c r="N70" s="4542"/>
      <c r="O70" s="4542"/>
      <c r="P70" s="4542"/>
      <c r="Q70" s="4542"/>
      <c r="R70" s="4495"/>
    </row>
    <row r="71" spans="1:19" s="794" customFormat="1" ht="20.25" customHeight="1" x14ac:dyDescent="0.25">
      <c r="A71" s="803" t="s">
        <v>2816</v>
      </c>
      <c r="B71" s="4494">
        <f>ROUND(550*(1-H78),2)</f>
        <v>550</v>
      </c>
      <c r="C71" s="4542"/>
      <c r="D71" s="4542"/>
      <c r="E71" s="4542"/>
      <c r="F71" s="4542"/>
      <c r="G71" s="4542"/>
      <c r="H71" s="4542"/>
      <c r="I71" s="4542"/>
      <c r="J71" s="4542"/>
      <c r="K71" s="4542"/>
      <c r="L71" s="4542"/>
      <c r="M71" s="4542"/>
      <c r="N71" s="4542"/>
      <c r="O71" s="4542"/>
      <c r="P71" s="4542"/>
      <c r="Q71" s="4542"/>
      <c r="R71" s="4495"/>
    </row>
    <row r="72" spans="1:19" s="794" customFormat="1" ht="20.25" customHeight="1" x14ac:dyDescent="0.25">
      <c r="A72" s="803" t="s">
        <v>2817</v>
      </c>
      <c r="B72" s="4494">
        <f>ROUND(2400*(1-H78),2)</f>
        <v>2400</v>
      </c>
      <c r="C72" s="4542"/>
      <c r="D72" s="4542"/>
      <c r="E72" s="4542"/>
      <c r="F72" s="4542"/>
      <c r="G72" s="4542"/>
      <c r="H72" s="4542"/>
      <c r="I72" s="4542"/>
      <c r="J72" s="4542"/>
      <c r="K72" s="4542"/>
      <c r="L72" s="4542"/>
      <c r="M72" s="4542"/>
      <c r="N72" s="4542"/>
      <c r="O72" s="4542"/>
      <c r="P72" s="4542"/>
      <c r="Q72" s="4542"/>
      <c r="R72" s="4495"/>
    </row>
    <row r="73" spans="1:19" s="794" customFormat="1" ht="20.25" x14ac:dyDescent="0.25">
      <c r="A73" s="1831"/>
      <c r="B73" s="1832"/>
      <c r="C73" s="1832"/>
      <c r="D73" s="1832"/>
      <c r="E73" s="1832"/>
      <c r="F73" s="1832"/>
      <c r="G73" s="1832"/>
      <c r="H73" s="1832"/>
      <c r="I73" s="1832"/>
      <c r="J73" s="1832"/>
      <c r="K73" s="1832"/>
      <c r="L73" s="1832"/>
      <c r="M73" s="1832"/>
      <c r="N73" s="1832"/>
      <c r="O73" s="1832"/>
      <c r="P73" s="1832"/>
      <c r="Q73" s="1832"/>
      <c r="R73" s="1832"/>
    </row>
    <row r="74" spans="1:19" s="794" customFormat="1" ht="20.25" x14ac:dyDescent="0.25">
      <c r="A74" s="429" t="s">
        <v>1390</v>
      </c>
      <c r="R74" s="3"/>
      <c r="S74" s="809"/>
    </row>
    <row r="75" spans="1:19" s="794" customFormat="1" ht="20.25" x14ac:dyDescent="0.25">
      <c r="A75" s="810" t="s">
        <v>2259</v>
      </c>
      <c r="S75" s="47"/>
    </row>
    <row r="76" spans="1:19" s="794" customFormat="1" ht="20.25" x14ac:dyDescent="0.25"/>
    <row r="77" spans="1:19" s="794" customFormat="1" ht="51.75" customHeight="1" x14ac:dyDescent="0.25">
      <c r="A77" s="4512" t="s">
        <v>66</v>
      </c>
      <c r="B77" s="4515" t="s">
        <v>1391</v>
      </c>
      <c r="C77" s="4516"/>
      <c r="D77" s="4517"/>
      <c r="E77" s="4518" t="s">
        <v>1392</v>
      </c>
      <c r="F77" s="4519"/>
      <c r="G77" s="4520"/>
      <c r="H77" s="4521" t="s">
        <v>1358</v>
      </c>
      <c r="I77" s="4521"/>
      <c r="J77" s="4521"/>
      <c r="K77" s="4521"/>
      <c r="L77" s="811"/>
      <c r="M77" s="1828"/>
      <c r="N77" s="1"/>
      <c r="O77" s="1"/>
      <c r="P77" s="1"/>
      <c r="Q77" s="1"/>
    </row>
    <row r="78" spans="1:19" s="794" customFormat="1" ht="12" customHeight="1" x14ac:dyDescent="0.25">
      <c r="A78" s="4513"/>
      <c r="B78" s="4522">
        <v>0</v>
      </c>
      <c r="C78" s="4523"/>
      <c r="D78" s="4524"/>
      <c r="E78" s="4522">
        <v>0</v>
      </c>
      <c r="F78" s="4523"/>
      <c r="G78" s="4524"/>
      <c r="H78" s="4528">
        <v>0</v>
      </c>
      <c r="I78" s="4528"/>
      <c r="J78" s="4528"/>
      <c r="K78" s="4528"/>
      <c r="L78" s="812"/>
      <c r="M78" s="1829"/>
      <c r="N78" s="1"/>
      <c r="O78" s="1"/>
      <c r="P78" s="1"/>
      <c r="Q78" s="1"/>
    </row>
    <row r="79" spans="1:19" s="794" customFormat="1" ht="25.5" customHeight="1" x14ac:dyDescent="0.25">
      <c r="A79" s="4514"/>
      <c r="B79" s="4525"/>
      <c r="C79" s="4526"/>
      <c r="D79" s="4527"/>
      <c r="E79" s="4525"/>
      <c r="F79" s="4526"/>
      <c r="G79" s="4527"/>
      <c r="H79" s="4528"/>
      <c r="I79" s="4528"/>
      <c r="J79" s="4528"/>
      <c r="K79" s="4528"/>
      <c r="L79" s="812"/>
      <c r="M79" s="1829"/>
    </row>
    <row r="80" spans="1:19" s="794" customFormat="1" ht="12" customHeight="1" x14ac:dyDescent="0.25"/>
    <row r="81" spans="1:1" s="794" customFormat="1" ht="12" customHeight="1" x14ac:dyDescent="0.25"/>
    <row r="82" spans="1:1" s="794" customFormat="1" ht="12" customHeight="1" x14ac:dyDescent="0.25"/>
    <row r="83" spans="1:1" s="813" customFormat="1" ht="12" customHeight="1" x14ac:dyDescent="0.3"/>
    <row r="84" spans="1:1" ht="12" customHeight="1" x14ac:dyDescent="0.2">
      <c r="A84" s="807"/>
    </row>
  </sheetData>
  <mergeCells count="175">
    <mergeCell ref="B72:R72"/>
    <mergeCell ref="A77:A79"/>
    <mergeCell ref="B77:D77"/>
    <mergeCell ref="E77:G77"/>
    <mergeCell ref="H77:K77"/>
    <mergeCell ref="B78:D79"/>
    <mergeCell ref="E78:G79"/>
    <mergeCell ref="H78:K79"/>
    <mergeCell ref="A66:R66"/>
    <mergeCell ref="B67:R67"/>
    <mergeCell ref="B68:R68"/>
    <mergeCell ref="B69:R69"/>
    <mergeCell ref="B70:R70"/>
    <mergeCell ref="B71:R71"/>
    <mergeCell ref="I64:J64"/>
    <mergeCell ref="K64:L64"/>
    <mergeCell ref="M64:N64"/>
    <mergeCell ref="O64:P64"/>
    <mergeCell ref="Q64:R64"/>
    <mergeCell ref="I65:J65"/>
    <mergeCell ref="K65:L65"/>
    <mergeCell ref="M65:N65"/>
    <mergeCell ref="O65:P65"/>
    <mergeCell ref="Q65:R65"/>
    <mergeCell ref="I62:J62"/>
    <mergeCell ref="K62:L62"/>
    <mergeCell ref="M62:N62"/>
    <mergeCell ref="O62:P62"/>
    <mergeCell ref="Q62:R62"/>
    <mergeCell ref="I63:J63"/>
    <mergeCell ref="K63:L63"/>
    <mergeCell ref="M63:N63"/>
    <mergeCell ref="O63:P63"/>
    <mergeCell ref="Q63:R63"/>
    <mergeCell ref="I60:J60"/>
    <mergeCell ref="K60:L60"/>
    <mergeCell ref="M60:N60"/>
    <mergeCell ref="O60:P60"/>
    <mergeCell ref="Q60:R60"/>
    <mergeCell ref="I61:J61"/>
    <mergeCell ref="K61:L61"/>
    <mergeCell ref="M61:N61"/>
    <mergeCell ref="O61:P61"/>
    <mergeCell ref="Q61:R61"/>
    <mergeCell ref="I58:J58"/>
    <mergeCell ref="K58:L58"/>
    <mergeCell ref="M58:N58"/>
    <mergeCell ref="O58:P58"/>
    <mergeCell ref="Q58:R58"/>
    <mergeCell ref="I59:J59"/>
    <mergeCell ref="K59:L59"/>
    <mergeCell ref="M59:N59"/>
    <mergeCell ref="O59:P59"/>
    <mergeCell ref="Q59:R59"/>
    <mergeCell ref="I56:J56"/>
    <mergeCell ref="K56:L56"/>
    <mergeCell ref="M56:N56"/>
    <mergeCell ref="O56:P56"/>
    <mergeCell ref="Q56:R56"/>
    <mergeCell ref="I57:J57"/>
    <mergeCell ref="K57:L57"/>
    <mergeCell ref="M57:N57"/>
    <mergeCell ref="O57:P57"/>
    <mergeCell ref="Q57:R57"/>
    <mergeCell ref="B43:G43"/>
    <mergeCell ref="B44:D44"/>
    <mergeCell ref="F44:R44"/>
    <mergeCell ref="A54:R54"/>
    <mergeCell ref="I55:J55"/>
    <mergeCell ref="K55:L55"/>
    <mergeCell ref="M55:N55"/>
    <mergeCell ref="O55:P55"/>
    <mergeCell ref="Q55:R55"/>
    <mergeCell ref="I43:Q43"/>
    <mergeCell ref="I41:J41"/>
    <mergeCell ref="K41:L41"/>
    <mergeCell ref="M41:N41"/>
    <mergeCell ref="O41:P41"/>
    <mergeCell ref="Q41:R41"/>
    <mergeCell ref="A42:R42"/>
    <mergeCell ref="A38:R38"/>
    <mergeCell ref="B39:R39"/>
    <mergeCell ref="I40:J40"/>
    <mergeCell ref="K40:L40"/>
    <mergeCell ref="M40:N40"/>
    <mergeCell ref="O40:P40"/>
    <mergeCell ref="Q40:R40"/>
    <mergeCell ref="I36:J36"/>
    <mergeCell ref="K36:L36"/>
    <mergeCell ref="M36:N36"/>
    <mergeCell ref="O36:P36"/>
    <mergeCell ref="Q36:R36"/>
    <mergeCell ref="I37:J37"/>
    <mergeCell ref="K37:L37"/>
    <mergeCell ref="M37:N37"/>
    <mergeCell ref="O37:P37"/>
    <mergeCell ref="Q37:R37"/>
    <mergeCell ref="I34:J34"/>
    <mergeCell ref="K34:L34"/>
    <mergeCell ref="M34:N34"/>
    <mergeCell ref="O34:P34"/>
    <mergeCell ref="Q34:R34"/>
    <mergeCell ref="A35:R35"/>
    <mergeCell ref="A31:R31"/>
    <mergeCell ref="A32:R32"/>
    <mergeCell ref="I33:J33"/>
    <mergeCell ref="K33:L33"/>
    <mergeCell ref="M33:N33"/>
    <mergeCell ref="O33:P33"/>
    <mergeCell ref="Q33:R33"/>
    <mergeCell ref="A25:R25"/>
    <mergeCell ref="B26:R26"/>
    <mergeCell ref="B27:R27"/>
    <mergeCell ref="B28:R28"/>
    <mergeCell ref="B29:R29"/>
    <mergeCell ref="B30:R30"/>
    <mergeCell ref="I23:J23"/>
    <mergeCell ref="K23:L23"/>
    <mergeCell ref="M23:N23"/>
    <mergeCell ref="O23:P23"/>
    <mergeCell ref="Q23:R23"/>
    <mergeCell ref="I24:J24"/>
    <mergeCell ref="K24:L24"/>
    <mergeCell ref="M24:N24"/>
    <mergeCell ref="O24:P24"/>
    <mergeCell ref="Q24:R24"/>
    <mergeCell ref="I21:J21"/>
    <mergeCell ref="K21:L21"/>
    <mergeCell ref="M21:N21"/>
    <mergeCell ref="O21:P21"/>
    <mergeCell ref="Q21:R21"/>
    <mergeCell ref="I22:J22"/>
    <mergeCell ref="K22:L22"/>
    <mergeCell ref="M22:N22"/>
    <mergeCell ref="O22:P22"/>
    <mergeCell ref="Q22:R22"/>
    <mergeCell ref="I19:J19"/>
    <mergeCell ref="K19:L19"/>
    <mergeCell ref="M19:N19"/>
    <mergeCell ref="O19:P19"/>
    <mergeCell ref="Q19:R19"/>
    <mergeCell ref="I20:J20"/>
    <mergeCell ref="K20:L20"/>
    <mergeCell ref="M20:N20"/>
    <mergeCell ref="O20:P20"/>
    <mergeCell ref="Q20:R20"/>
    <mergeCell ref="I17:J17"/>
    <mergeCell ref="K17:L17"/>
    <mergeCell ref="M17:N17"/>
    <mergeCell ref="O17:P17"/>
    <mergeCell ref="Q17:R17"/>
    <mergeCell ref="I18:J18"/>
    <mergeCell ref="K18:L18"/>
    <mergeCell ref="M18:N18"/>
    <mergeCell ref="O18:P18"/>
    <mergeCell ref="Q18:R18"/>
    <mergeCell ref="I15:J15"/>
    <mergeCell ref="K15:L15"/>
    <mergeCell ref="M15:N15"/>
    <mergeCell ref="O15:P15"/>
    <mergeCell ref="Q15:R15"/>
    <mergeCell ref="I16:J16"/>
    <mergeCell ref="K16:L16"/>
    <mergeCell ref="M16:N16"/>
    <mergeCell ref="O16:P16"/>
    <mergeCell ref="Q16:R16"/>
    <mergeCell ref="A1:R10"/>
    <mergeCell ref="A11:R11"/>
    <mergeCell ref="Q12:R12"/>
    <mergeCell ref="A13:R13"/>
    <mergeCell ref="I14:J14"/>
    <mergeCell ref="K14:L14"/>
    <mergeCell ref="M14:N14"/>
    <mergeCell ref="O14:P14"/>
    <mergeCell ref="Q14:R14"/>
  </mergeCells>
  <printOptions horizontalCentered="1"/>
  <pageMargins left="0" right="0" top="0" bottom="0" header="0" footer="0"/>
  <pageSetup paperSize="9" scale="35" orientation="landscape" r:id="rId1"/>
  <headerFooter alignWithMargins="0">
    <oddFooter>&amp;R&amp;26Стр. &amp;P из  &amp;N
&amp;A</oddFooter>
  </headerFooter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R97"/>
  <sheetViews>
    <sheetView topLeftCell="A61" zoomScale="55" zoomScaleNormal="55" zoomScaleSheetLayoutView="40" workbookViewId="0">
      <selection sqref="A1:C2"/>
    </sheetView>
  </sheetViews>
  <sheetFormatPr defaultRowHeight="20.25" x14ac:dyDescent="0.3"/>
  <cols>
    <col min="1" max="1" width="34.140625" style="838" customWidth="1"/>
    <col min="2" max="2" width="113.85546875" style="838" customWidth="1"/>
    <col min="3" max="3" width="37.5703125" style="122" customWidth="1"/>
    <col min="4" max="4" width="27.7109375" style="838" customWidth="1"/>
    <col min="5" max="5" width="9.28515625" style="838" customWidth="1"/>
    <col min="6" max="16384" width="9.140625" style="838"/>
  </cols>
  <sheetData>
    <row r="1" spans="1:10" s="3" customFormat="1" x14ac:dyDescent="0.25">
      <c r="A1" s="4545"/>
      <c r="B1" s="4545"/>
      <c r="C1" s="4545"/>
      <c r="D1" s="4545"/>
      <c r="E1" s="4545"/>
      <c r="F1" s="4545"/>
      <c r="G1" s="4545"/>
      <c r="H1" s="4545"/>
      <c r="I1" s="4545"/>
      <c r="J1" s="4545"/>
    </row>
    <row r="2" spans="1:10" s="3" customFormat="1" x14ac:dyDescent="0.25">
      <c r="A2" s="4545"/>
      <c r="B2" s="4545"/>
      <c r="C2" s="4545"/>
      <c r="D2" s="4545"/>
      <c r="E2" s="4545"/>
      <c r="F2" s="4545"/>
      <c r="G2" s="4545"/>
      <c r="H2" s="4545"/>
      <c r="I2" s="4545"/>
      <c r="J2" s="4545"/>
    </row>
    <row r="3" spans="1:10" s="3" customFormat="1" x14ac:dyDescent="0.25">
      <c r="A3" s="4545"/>
      <c r="B3" s="4545"/>
      <c r="C3" s="4545"/>
      <c r="D3" s="4545"/>
      <c r="E3" s="4545"/>
      <c r="F3" s="4545"/>
      <c r="G3" s="4545"/>
      <c r="H3" s="4545"/>
      <c r="I3" s="4545"/>
      <c r="J3" s="4545"/>
    </row>
    <row r="4" spans="1:10" s="3" customFormat="1" x14ac:dyDescent="0.25">
      <c r="A4" s="4545"/>
      <c r="B4" s="4545"/>
      <c r="C4" s="4545"/>
      <c r="D4" s="4545"/>
      <c r="E4" s="4545"/>
      <c r="F4" s="4545"/>
      <c r="G4" s="4545"/>
      <c r="H4" s="4545"/>
      <c r="I4" s="4545"/>
      <c r="J4" s="4545"/>
    </row>
    <row r="5" spans="1:10" s="3" customFormat="1" ht="53.25" customHeight="1" thickBot="1" x14ac:dyDescent="0.3">
      <c r="A5" s="4546"/>
      <c r="B5" s="4546"/>
      <c r="C5" s="4546"/>
      <c r="D5" s="4546"/>
      <c r="E5" s="4546"/>
      <c r="F5" s="4546"/>
      <c r="G5" s="4546"/>
      <c r="H5" s="4546"/>
      <c r="I5" s="4546"/>
      <c r="J5" s="4546"/>
    </row>
    <row r="6" spans="1:10" s="3" customFormat="1" ht="32.25" customHeight="1" x14ac:dyDescent="0.4">
      <c r="A6" s="4547" t="s">
        <v>1393</v>
      </c>
      <c r="B6" s="4547"/>
      <c r="C6" s="4547"/>
      <c r="D6" s="4547"/>
      <c r="F6" s="8"/>
    </row>
    <row r="7" spans="1:10" s="817" customFormat="1" ht="23.25" x14ac:dyDescent="0.35">
      <c r="A7" s="815"/>
      <c r="C7" s="816" t="s">
        <v>1</v>
      </c>
      <c r="D7" s="2306">
        <v>42415</v>
      </c>
    </row>
    <row r="8" spans="1:10" s="3" customFormat="1" ht="26.25" x14ac:dyDescent="0.25">
      <c r="A8" s="4548" t="s">
        <v>702</v>
      </c>
      <c r="B8" s="1548" t="s">
        <v>399</v>
      </c>
      <c r="C8" s="4551" t="s">
        <v>1633</v>
      </c>
      <c r="D8" s="4554" t="s">
        <v>1394</v>
      </c>
      <c r="E8" s="818"/>
    </row>
    <row r="9" spans="1:10" s="3" customFormat="1" ht="26.25" x14ac:dyDescent="0.25">
      <c r="A9" s="4549"/>
      <c r="B9" s="819" t="s">
        <v>1395</v>
      </c>
      <c r="C9" s="4552"/>
      <c r="D9" s="4554"/>
      <c r="E9" s="820"/>
    </row>
    <row r="10" spans="1:10" s="3" customFormat="1" ht="23.25" customHeight="1" x14ac:dyDescent="0.4">
      <c r="A10" s="4550"/>
      <c r="B10" s="821" t="s">
        <v>1396</v>
      </c>
      <c r="C10" s="4553"/>
      <c r="D10" s="4554"/>
      <c r="E10" s="820"/>
    </row>
    <row r="11" spans="1:10" s="3" customFormat="1" ht="23.25" customHeight="1" x14ac:dyDescent="0.25">
      <c r="A11" s="4558"/>
      <c r="B11" s="4561" t="s">
        <v>1397</v>
      </c>
      <c r="C11" s="4564" t="s">
        <v>1398</v>
      </c>
      <c r="D11" s="4567" t="str">
        <f>ROUND(1100*(1-B96),2)&amp;"***"</f>
        <v>1100***</v>
      </c>
      <c r="E11" s="820"/>
    </row>
    <row r="12" spans="1:10" s="3" customFormat="1" ht="23.25" customHeight="1" x14ac:dyDescent="0.25">
      <c r="A12" s="4559"/>
      <c r="B12" s="4562"/>
      <c r="C12" s="4565"/>
      <c r="D12" s="4568"/>
      <c r="E12" s="820"/>
    </row>
    <row r="13" spans="1:10" s="3" customFormat="1" ht="27.75" customHeight="1" x14ac:dyDescent="0.25">
      <c r="A13" s="4560"/>
      <c r="B13" s="4563"/>
      <c r="C13" s="4566"/>
      <c r="D13" s="4569"/>
      <c r="E13" s="820"/>
    </row>
    <row r="14" spans="1:10" s="3" customFormat="1" ht="24.75" customHeight="1" x14ac:dyDescent="0.25">
      <c r="A14" s="4558"/>
      <c r="B14" s="4561" t="s">
        <v>1399</v>
      </c>
      <c r="C14" s="4564" t="s">
        <v>1398</v>
      </c>
      <c r="D14" s="4567" t="str">
        <f>ROUND(1480*(1-B96),2)&amp;"***"</f>
        <v>1480***</v>
      </c>
      <c r="E14" s="820"/>
    </row>
    <row r="15" spans="1:10" s="3" customFormat="1" ht="29.25" customHeight="1" x14ac:dyDescent="0.25">
      <c r="A15" s="4559"/>
      <c r="B15" s="4570"/>
      <c r="C15" s="4565"/>
      <c r="D15" s="4568"/>
      <c r="E15" s="820"/>
    </row>
    <row r="16" spans="1:10" s="3" customFormat="1" ht="31.5" customHeight="1" x14ac:dyDescent="0.25">
      <c r="A16" s="4560"/>
      <c r="B16" s="4571"/>
      <c r="C16" s="4566"/>
      <c r="D16" s="4569"/>
      <c r="E16" s="820"/>
    </row>
    <row r="17" spans="1:5" s="3" customFormat="1" ht="21.75" customHeight="1" x14ac:dyDescent="0.25">
      <c r="A17" s="4558"/>
      <c r="B17" s="4561" t="s">
        <v>1400</v>
      </c>
      <c r="C17" s="4564" t="s">
        <v>1401</v>
      </c>
      <c r="D17" s="4572" t="str">
        <f>ROUND(1640*(1-B96),2)&amp;"*"</f>
        <v>1640*</v>
      </c>
      <c r="E17" s="820"/>
    </row>
    <row r="18" spans="1:5" s="3" customFormat="1" ht="27.75" customHeight="1" x14ac:dyDescent="0.25">
      <c r="A18" s="4559"/>
      <c r="B18" s="4570"/>
      <c r="C18" s="4565"/>
      <c r="D18" s="4573"/>
      <c r="E18" s="820"/>
    </row>
    <row r="19" spans="1:5" s="3" customFormat="1" ht="27.75" customHeight="1" x14ac:dyDescent="0.25">
      <c r="A19" s="4560"/>
      <c r="B19" s="4571"/>
      <c r="C19" s="4566"/>
      <c r="D19" s="4574"/>
      <c r="E19" s="820"/>
    </row>
    <row r="20" spans="1:5" s="3" customFormat="1" ht="26.25" x14ac:dyDescent="0.25">
      <c r="A20" s="4555" t="s">
        <v>1402</v>
      </c>
      <c r="B20" s="4556"/>
      <c r="C20" s="4556"/>
      <c r="D20" s="4557"/>
    </row>
    <row r="21" spans="1:5" s="3" customFormat="1" ht="23.25" customHeight="1" x14ac:dyDescent="0.25">
      <c r="A21" s="4558"/>
      <c r="B21" s="4561" t="s">
        <v>1403</v>
      </c>
      <c r="C21" s="4564" t="s">
        <v>1398</v>
      </c>
      <c r="D21" s="4567" t="str">
        <f>ROUND(1140*(1-B96),2)&amp;"***"</f>
        <v>1140***</v>
      </c>
    </row>
    <row r="22" spans="1:5" s="3" customFormat="1" ht="23.25" customHeight="1" x14ac:dyDescent="0.25">
      <c r="A22" s="4559"/>
      <c r="B22" s="4562"/>
      <c r="C22" s="4565"/>
      <c r="D22" s="4568"/>
    </row>
    <row r="23" spans="1:5" s="3" customFormat="1" ht="23.25" customHeight="1" x14ac:dyDescent="0.25">
      <c r="A23" s="4560"/>
      <c r="B23" s="4563"/>
      <c r="C23" s="4566"/>
      <c r="D23" s="4569"/>
    </row>
    <row r="24" spans="1:5" s="3" customFormat="1" ht="23.25" customHeight="1" x14ac:dyDescent="0.25">
      <c r="A24" s="4558"/>
      <c r="B24" s="4561" t="s">
        <v>1404</v>
      </c>
      <c r="C24" s="4564" t="s">
        <v>1398</v>
      </c>
      <c r="D24" s="4567" t="str">
        <f>ROUND(1550*(1-B96),2)&amp;"*"</f>
        <v>1550*</v>
      </c>
    </row>
    <row r="25" spans="1:5" s="3" customFormat="1" ht="23.25" customHeight="1" x14ac:dyDescent="0.25">
      <c r="A25" s="4559"/>
      <c r="B25" s="4562"/>
      <c r="C25" s="4565"/>
      <c r="D25" s="4568"/>
    </row>
    <row r="26" spans="1:5" s="3" customFormat="1" ht="23.25" customHeight="1" x14ac:dyDescent="0.25">
      <c r="A26" s="4560"/>
      <c r="B26" s="4563"/>
      <c r="C26" s="4566"/>
      <c r="D26" s="4569"/>
    </row>
    <row r="27" spans="1:5" s="3" customFormat="1" ht="23.25" customHeight="1" x14ac:dyDescent="0.25">
      <c r="A27" s="4558"/>
      <c r="B27" s="4561" t="s">
        <v>1405</v>
      </c>
      <c r="C27" s="4564" t="s">
        <v>1398</v>
      </c>
      <c r="D27" s="4572" t="str">
        <f>ROUND(2000*(1-B96),2)&amp;"*"</f>
        <v>2000*</v>
      </c>
    </row>
    <row r="28" spans="1:5" s="3" customFormat="1" ht="23.25" customHeight="1" x14ac:dyDescent="0.25">
      <c r="A28" s="4559"/>
      <c r="B28" s="4562"/>
      <c r="C28" s="4565"/>
      <c r="D28" s="4573"/>
    </row>
    <row r="29" spans="1:5" s="3" customFormat="1" ht="30.75" customHeight="1" x14ac:dyDescent="0.25">
      <c r="A29" s="4560"/>
      <c r="B29" s="4563"/>
      <c r="C29" s="4566"/>
      <c r="D29" s="4574"/>
    </row>
    <row r="30" spans="1:5" s="3" customFormat="1" ht="23.25" customHeight="1" x14ac:dyDescent="0.25">
      <c r="A30" s="4558"/>
      <c r="B30" s="4561" t="s">
        <v>1406</v>
      </c>
      <c r="C30" s="4564" t="s">
        <v>1398</v>
      </c>
      <c r="D30" s="4572" t="str">
        <f>ROUND(3000*(1-B96),2)&amp;"***"</f>
        <v>3000***</v>
      </c>
    </row>
    <row r="31" spans="1:5" s="3" customFormat="1" ht="23.25" customHeight="1" x14ac:dyDescent="0.25">
      <c r="A31" s="4559"/>
      <c r="B31" s="4562"/>
      <c r="C31" s="4565"/>
      <c r="D31" s="4573"/>
    </row>
    <row r="32" spans="1:5" s="3" customFormat="1" ht="29.25" customHeight="1" x14ac:dyDescent="0.25">
      <c r="A32" s="4560"/>
      <c r="B32" s="4563"/>
      <c r="C32" s="4566"/>
      <c r="D32" s="4574"/>
    </row>
    <row r="33" spans="1:4" s="3" customFormat="1" ht="23.25" customHeight="1" x14ac:dyDescent="0.25">
      <c r="A33" s="4558"/>
      <c r="B33" s="4561" t="s">
        <v>1407</v>
      </c>
      <c r="C33" s="4564" t="s">
        <v>1398</v>
      </c>
      <c r="D33" s="4567" t="str">
        <f>ROUND(370*(1-B96),2)&amp;"*"</f>
        <v>370*</v>
      </c>
    </row>
    <row r="34" spans="1:4" s="3" customFormat="1" ht="23.25" customHeight="1" x14ac:dyDescent="0.25">
      <c r="A34" s="4559"/>
      <c r="B34" s="4562"/>
      <c r="C34" s="4565"/>
      <c r="D34" s="4568"/>
    </row>
    <row r="35" spans="1:4" s="3" customFormat="1" ht="29.25" customHeight="1" x14ac:dyDescent="0.25">
      <c r="A35" s="4560"/>
      <c r="B35" s="4563"/>
      <c r="C35" s="4566"/>
      <c r="D35" s="4569"/>
    </row>
    <row r="36" spans="1:4" s="3" customFormat="1" ht="23.25" customHeight="1" x14ac:dyDescent="0.25">
      <c r="A36" s="4558"/>
      <c r="B36" s="4561" t="s">
        <v>1408</v>
      </c>
      <c r="C36" s="4564" t="s">
        <v>1398</v>
      </c>
      <c r="D36" s="4567" t="str">
        <f>ROUND(550*(1-B96),2)&amp;"*"</f>
        <v>550*</v>
      </c>
    </row>
    <row r="37" spans="1:4" s="3" customFormat="1" ht="23.25" customHeight="1" x14ac:dyDescent="0.25">
      <c r="A37" s="4559"/>
      <c r="B37" s="4562"/>
      <c r="C37" s="4565"/>
      <c r="D37" s="4568"/>
    </row>
    <row r="38" spans="1:4" s="3" customFormat="1" ht="23.25" customHeight="1" x14ac:dyDescent="0.25">
      <c r="A38" s="4560"/>
      <c r="B38" s="4563"/>
      <c r="C38" s="4566"/>
      <c r="D38" s="4569"/>
    </row>
    <row r="39" spans="1:4" s="3" customFormat="1" ht="26.25" x14ac:dyDescent="0.4">
      <c r="A39" s="4575" t="s">
        <v>1409</v>
      </c>
      <c r="B39" s="4576"/>
      <c r="C39" s="4576"/>
      <c r="D39" s="4577"/>
    </row>
    <row r="40" spans="1:4" s="3" customFormat="1" ht="23.25" customHeight="1" x14ac:dyDescent="0.25">
      <c r="A40" s="822"/>
      <c r="B40" s="4581" t="s">
        <v>1410</v>
      </c>
      <c r="C40" s="4582"/>
      <c r="D40" s="4583"/>
    </row>
    <row r="41" spans="1:4" s="3" customFormat="1" ht="23.25" customHeight="1" x14ac:dyDescent="0.25">
      <c r="A41" s="4558"/>
      <c r="B41" s="4561" t="s">
        <v>1411</v>
      </c>
      <c r="C41" s="4564" t="s">
        <v>1398</v>
      </c>
      <c r="D41" s="4567" t="str">
        <f>ROUND(700*(1-B96),2)&amp;"**"</f>
        <v>700**</v>
      </c>
    </row>
    <row r="42" spans="1:4" s="3" customFormat="1" ht="23.25" customHeight="1" x14ac:dyDescent="0.25">
      <c r="A42" s="4559"/>
      <c r="B42" s="4562"/>
      <c r="C42" s="4565"/>
      <c r="D42" s="4568"/>
    </row>
    <row r="43" spans="1:4" s="3" customFormat="1" ht="29.25" customHeight="1" x14ac:dyDescent="0.25">
      <c r="A43" s="4560"/>
      <c r="B43" s="4563"/>
      <c r="C43" s="4566"/>
      <c r="D43" s="4569"/>
    </row>
    <row r="44" spans="1:4" s="3" customFormat="1" ht="23.25" customHeight="1" x14ac:dyDescent="0.25">
      <c r="A44" s="4558"/>
      <c r="B44" s="4561" t="s">
        <v>1412</v>
      </c>
      <c r="C44" s="4564" t="s">
        <v>1398</v>
      </c>
      <c r="D44" s="4567" t="str">
        <f>ROUND(715*(1-B96),2)&amp;"*"</f>
        <v>715*</v>
      </c>
    </row>
    <row r="45" spans="1:4" s="3" customFormat="1" ht="23.25" customHeight="1" x14ac:dyDescent="0.25">
      <c r="A45" s="4559"/>
      <c r="B45" s="4562"/>
      <c r="C45" s="4565"/>
      <c r="D45" s="4568"/>
    </row>
    <row r="46" spans="1:4" s="3" customFormat="1" ht="29.25" customHeight="1" x14ac:dyDescent="0.25">
      <c r="A46" s="4560"/>
      <c r="B46" s="4563"/>
      <c r="C46" s="4566"/>
      <c r="D46" s="4569"/>
    </row>
    <row r="47" spans="1:4" s="3" customFormat="1" ht="23.25" customHeight="1" x14ac:dyDescent="0.25">
      <c r="A47" s="4558"/>
      <c r="B47" s="4578" t="s">
        <v>1413</v>
      </c>
      <c r="C47" s="4564" t="s">
        <v>1414</v>
      </c>
      <c r="D47" s="4567" t="str">
        <f>ROUND(775*(1-B96),2)&amp;"*"</f>
        <v>775*</v>
      </c>
    </row>
    <row r="48" spans="1:4" s="3" customFormat="1" ht="22.5" customHeight="1" x14ac:dyDescent="0.25">
      <c r="A48" s="4559"/>
      <c r="B48" s="4579"/>
      <c r="C48" s="4565"/>
      <c r="D48" s="4568"/>
    </row>
    <row r="49" spans="1:18" s="3" customFormat="1" ht="32.25" customHeight="1" x14ac:dyDescent="0.25">
      <c r="A49" s="4560"/>
      <c r="B49" s="4580"/>
      <c r="C49" s="4566"/>
      <c r="D49" s="4569"/>
    </row>
    <row r="50" spans="1:18" s="3" customFormat="1" ht="26.25" x14ac:dyDescent="0.25">
      <c r="A50" s="823"/>
      <c r="B50" s="824" t="s">
        <v>1415</v>
      </c>
      <c r="C50" s="825"/>
      <c r="D50" s="826"/>
    </row>
    <row r="51" spans="1:18" s="3" customFormat="1" ht="23.25" customHeight="1" x14ac:dyDescent="0.25">
      <c r="A51" s="4558"/>
      <c r="B51" s="4584" t="s">
        <v>1416</v>
      </c>
      <c r="C51" s="4564" t="s">
        <v>1398</v>
      </c>
      <c r="D51" s="4572" t="str">
        <f>ROUND(850*(1-B96),2)&amp;"**"</f>
        <v>850**</v>
      </c>
    </row>
    <row r="52" spans="1:18" s="3" customFormat="1" ht="23.25" customHeight="1" x14ac:dyDescent="0.25">
      <c r="A52" s="4559"/>
      <c r="B52" s="4585"/>
      <c r="C52" s="4565"/>
      <c r="D52" s="4573"/>
    </row>
    <row r="53" spans="1:18" s="3" customFormat="1" ht="29.25" customHeight="1" x14ac:dyDescent="0.25">
      <c r="A53" s="4560"/>
      <c r="B53" s="4586"/>
      <c r="C53" s="4566"/>
      <c r="D53" s="4574"/>
    </row>
    <row r="54" spans="1:18" s="3" customFormat="1" ht="23.25" customHeight="1" x14ac:dyDescent="0.25">
      <c r="A54" s="4558"/>
      <c r="B54" s="4584" t="s">
        <v>1417</v>
      </c>
      <c r="C54" s="4564" t="s">
        <v>1398</v>
      </c>
      <c r="D54" s="4572" t="str">
        <f>ROUND(1180*(1-B96),2)&amp;"*"</f>
        <v>1180*</v>
      </c>
    </row>
    <row r="55" spans="1:18" s="3" customFormat="1" ht="23.25" customHeight="1" x14ac:dyDescent="0.25">
      <c r="A55" s="4559"/>
      <c r="B55" s="4585"/>
      <c r="C55" s="4565"/>
      <c r="D55" s="4573"/>
    </row>
    <row r="56" spans="1:18" s="3" customFormat="1" ht="30.75" customHeight="1" x14ac:dyDescent="0.25">
      <c r="A56" s="4560"/>
      <c r="B56" s="4586"/>
      <c r="C56" s="4566"/>
      <c r="D56" s="4574"/>
    </row>
    <row r="57" spans="1:18" s="3" customFormat="1" x14ac:dyDescent="0.25">
      <c r="A57" s="4558"/>
      <c r="B57" s="4584" t="s">
        <v>1418</v>
      </c>
      <c r="C57" s="4564" t="s">
        <v>1414</v>
      </c>
      <c r="D57" s="4572" t="str">
        <f>ROUND(1200*(1-B96),2)&amp;"*"</f>
        <v>1200*</v>
      </c>
    </row>
    <row r="58" spans="1:18" s="3" customFormat="1" ht="26.25" x14ac:dyDescent="0.25">
      <c r="A58" s="4559"/>
      <c r="B58" s="4585"/>
      <c r="C58" s="4565"/>
      <c r="D58" s="4573"/>
      <c r="N58" s="893"/>
      <c r="O58" s="894"/>
      <c r="P58" s="894"/>
      <c r="Q58" s="894"/>
      <c r="R58" s="895"/>
    </row>
    <row r="59" spans="1:18" s="3" customFormat="1" ht="29.25" customHeight="1" x14ac:dyDescent="0.25">
      <c r="A59" s="4560"/>
      <c r="B59" s="4586"/>
      <c r="C59" s="4566"/>
      <c r="D59" s="4574"/>
      <c r="N59" s="893"/>
      <c r="O59" s="894"/>
      <c r="P59" s="894"/>
      <c r="Q59" s="894"/>
      <c r="R59" s="895"/>
    </row>
    <row r="60" spans="1:18" s="3" customFormat="1" ht="26.25" x14ac:dyDescent="0.4">
      <c r="A60" s="4575" t="s">
        <v>1631</v>
      </c>
      <c r="B60" s="4576"/>
      <c r="C60" s="4576"/>
      <c r="D60" s="4577"/>
    </row>
    <row r="61" spans="1:18" s="3" customFormat="1" ht="26.25" x14ac:dyDescent="0.25">
      <c r="A61" s="4587"/>
      <c r="B61" s="4584" t="s">
        <v>1637</v>
      </c>
      <c r="C61" s="4590" t="s">
        <v>17</v>
      </c>
      <c r="D61" s="4591">
        <f>ROUND(650*(1-B96),2)</f>
        <v>650</v>
      </c>
      <c r="N61" s="893"/>
      <c r="O61" s="894"/>
      <c r="P61" s="894"/>
      <c r="Q61" s="894"/>
      <c r="R61" s="895"/>
    </row>
    <row r="62" spans="1:18" s="3" customFormat="1" ht="26.25" x14ac:dyDescent="0.25">
      <c r="A62" s="4587"/>
      <c r="B62" s="4588"/>
      <c r="C62" s="4590"/>
      <c r="D62" s="4591"/>
      <c r="N62" s="893"/>
      <c r="O62" s="894"/>
      <c r="P62" s="894"/>
      <c r="Q62" s="894"/>
      <c r="R62" s="895"/>
    </row>
    <row r="63" spans="1:18" s="3" customFormat="1" ht="26.25" x14ac:dyDescent="0.25">
      <c r="A63" s="4587"/>
      <c r="B63" s="4589"/>
      <c r="C63" s="4590"/>
      <c r="D63" s="4591"/>
      <c r="N63" s="893"/>
      <c r="O63" s="894"/>
      <c r="P63" s="894"/>
      <c r="Q63" s="894"/>
      <c r="R63" s="895"/>
    </row>
    <row r="64" spans="1:18" s="3" customFormat="1" ht="26.25" x14ac:dyDescent="0.25">
      <c r="A64" s="4555" t="s">
        <v>1419</v>
      </c>
      <c r="B64" s="4556"/>
      <c r="C64" s="4556"/>
      <c r="D64" s="4557"/>
      <c r="N64" s="896"/>
      <c r="O64" s="894"/>
      <c r="P64" s="894"/>
      <c r="Q64" s="894"/>
      <c r="R64" s="895"/>
    </row>
    <row r="65" spans="1:4" s="3" customFormat="1" ht="30" x14ac:dyDescent="0.4">
      <c r="A65" s="827"/>
      <c r="B65" s="4594" t="s">
        <v>1396</v>
      </c>
      <c r="C65" s="4595"/>
      <c r="D65" s="4596"/>
    </row>
    <row r="66" spans="1:4" s="3" customFormat="1" ht="23.25" customHeight="1" x14ac:dyDescent="0.25">
      <c r="A66" s="4558"/>
      <c r="B66" s="4597" t="s">
        <v>1420</v>
      </c>
      <c r="C66" s="4564" t="s">
        <v>1421</v>
      </c>
      <c r="D66" s="4591" t="str">
        <f>ROUND(1250*(1-B96),2)&amp;"**"</f>
        <v>1250**</v>
      </c>
    </row>
    <row r="67" spans="1:4" s="3" customFormat="1" ht="23.25" customHeight="1" x14ac:dyDescent="0.25">
      <c r="A67" s="4559"/>
      <c r="B67" s="4598"/>
      <c r="C67" s="4565"/>
      <c r="D67" s="4591"/>
    </row>
    <row r="68" spans="1:4" s="3" customFormat="1" ht="27.75" customHeight="1" x14ac:dyDescent="0.25">
      <c r="A68" s="4560"/>
      <c r="B68" s="4599"/>
      <c r="C68" s="4566"/>
      <c r="D68" s="4591"/>
    </row>
    <row r="69" spans="1:4" s="3" customFormat="1" ht="26.25" x14ac:dyDescent="0.25">
      <c r="A69" s="4575" t="s">
        <v>1422</v>
      </c>
      <c r="B69" s="4592"/>
      <c r="C69" s="4592"/>
      <c r="D69" s="4593"/>
    </row>
    <row r="70" spans="1:4" s="3" customFormat="1" ht="30" x14ac:dyDescent="0.4">
      <c r="A70" s="828"/>
      <c r="B70" s="4594" t="s">
        <v>1423</v>
      </c>
      <c r="C70" s="4595"/>
      <c r="D70" s="4596"/>
    </row>
    <row r="71" spans="1:4" s="3" customFormat="1" ht="23.25" customHeight="1" x14ac:dyDescent="0.25">
      <c r="A71" s="4558"/>
      <c r="B71" s="4561" t="s">
        <v>1424</v>
      </c>
      <c r="C71" s="4564" t="s">
        <v>1425</v>
      </c>
      <c r="D71" s="4587" t="str">
        <f>ROUND(640*(1-B96),2)&amp;"**"</f>
        <v>640**</v>
      </c>
    </row>
    <row r="72" spans="1:4" s="3" customFormat="1" ht="23.25" customHeight="1" x14ac:dyDescent="0.25">
      <c r="A72" s="4559"/>
      <c r="B72" s="4570"/>
      <c r="C72" s="4565"/>
      <c r="D72" s="4587"/>
    </row>
    <row r="73" spans="1:4" s="3" customFormat="1" ht="29.25" customHeight="1" x14ac:dyDescent="0.25">
      <c r="A73" s="4560"/>
      <c r="B73" s="4571"/>
      <c r="C73" s="4566"/>
      <c r="D73" s="4587"/>
    </row>
    <row r="74" spans="1:4" s="3" customFormat="1" ht="23.25" customHeight="1" x14ac:dyDescent="0.25">
      <c r="A74" s="4558"/>
      <c r="B74" s="4561" t="s">
        <v>1426</v>
      </c>
      <c r="C74" s="4564" t="s">
        <v>1427</v>
      </c>
      <c r="D74" s="4587" t="str">
        <f>ROUND(700*(1-B96),2)&amp;"*"</f>
        <v>700*</v>
      </c>
    </row>
    <row r="75" spans="1:4" s="3" customFormat="1" ht="23.25" customHeight="1" x14ac:dyDescent="0.25">
      <c r="A75" s="4559"/>
      <c r="B75" s="4562"/>
      <c r="C75" s="4565"/>
      <c r="D75" s="4587"/>
    </row>
    <row r="76" spans="1:4" s="3" customFormat="1" ht="30.75" customHeight="1" x14ac:dyDescent="0.25">
      <c r="A76" s="4560"/>
      <c r="B76" s="4563"/>
      <c r="C76" s="4566"/>
      <c r="D76" s="4587"/>
    </row>
    <row r="77" spans="1:4" s="3" customFormat="1" ht="30.75" customHeight="1" x14ac:dyDescent="0.4">
      <c r="A77" s="4575" t="s">
        <v>3375</v>
      </c>
      <c r="B77" s="4576"/>
      <c r="C77" s="4576"/>
      <c r="D77" s="4577"/>
    </row>
    <row r="78" spans="1:4" s="3" customFormat="1" ht="78.75" customHeight="1" x14ac:dyDescent="0.25">
      <c r="A78" s="2252"/>
      <c r="B78" s="2254" t="s">
        <v>3376</v>
      </c>
      <c r="C78" s="2253" t="s">
        <v>1814</v>
      </c>
      <c r="D78" s="2255">
        <f>ROUND(310*(1-B100),2)</f>
        <v>310</v>
      </c>
    </row>
    <row r="79" spans="1:4" s="3" customFormat="1" ht="30.75" customHeight="1" x14ac:dyDescent="0.25">
      <c r="A79" s="4600" t="s">
        <v>1844</v>
      </c>
      <c r="B79" s="4600"/>
      <c r="C79" s="4600"/>
      <c r="D79" s="4600"/>
    </row>
    <row r="80" spans="1:4" s="3" customFormat="1" ht="44.25" customHeight="1" x14ac:dyDescent="0.25">
      <c r="A80" s="1036"/>
      <c r="B80" s="1035" t="s">
        <v>631</v>
      </c>
      <c r="C80" s="3472">
        <v>403</v>
      </c>
      <c r="D80" s="3472"/>
    </row>
    <row r="81" spans="1:18" s="3" customFormat="1" ht="40.5" customHeight="1" x14ac:dyDescent="0.25">
      <c r="A81" s="1036"/>
      <c r="B81" s="1035" t="s">
        <v>597</v>
      </c>
      <c r="C81" s="3472">
        <v>150</v>
      </c>
      <c r="D81" s="3472"/>
    </row>
    <row r="82" spans="1:18" s="3" customFormat="1" ht="23.25" customHeight="1" x14ac:dyDescent="0.25">
      <c r="A82" s="832" t="s">
        <v>2280</v>
      </c>
      <c r="B82" s="830"/>
      <c r="C82" s="831"/>
      <c r="D82" s="829"/>
    </row>
    <row r="83" spans="1:18" s="3" customFormat="1" ht="23.25" customHeight="1" x14ac:dyDescent="0.25">
      <c r="A83" s="832" t="s">
        <v>1632</v>
      </c>
      <c r="B83" s="830"/>
      <c r="C83" s="831"/>
      <c r="D83" s="829"/>
    </row>
    <row r="84" spans="1:18" s="3" customFormat="1" ht="23.25" customHeight="1" x14ac:dyDescent="0.25">
      <c r="A84" s="832" t="s">
        <v>2281</v>
      </c>
      <c r="B84" s="830"/>
      <c r="C84" s="831"/>
      <c r="D84" s="829"/>
    </row>
    <row r="85" spans="1:18" s="1551" customFormat="1" ht="23.25" x14ac:dyDescent="0.25">
      <c r="A85" s="1550" t="s">
        <v>2282</v>
      </c>
      <c r="B85" s="833"/>
      <c r="C85" s="834"/>
      <c r="D85" s="1550"/>
    </row>
    <row r="86" spans="1:18" s="3" customFormat="1" ht="23.25" x14ac:dyDescent="0.25">
      <c r="A86" s="1550" t="s">
        <v>1111</v>
      </c>
      <c r="B86" s="832"/>
      <c r="D86" s="832"/>
    </row>
    <row r="87" spans="1:18" s="3" customFormat="1" ht="23.25" x14ac:dyDescent="0.25">
      <c r="A87" s="832"/>
      <c r="B87" s="835"/>
      <c r="C87" s="836"/>
      <c r="D87" s="832"/>
    </row>
    <row r="88" spans="1:18" s="3" customFormat="1" ht="23.25" x14ac:dyDescent="0.35">
      <c r="A88" s="793" t="s">
        <v>2259</v>
      </c>
      <c r="B88" s="835"/>
      <c r="C88" s="836"/>
      <c r="D88" s="832"/>
    </row>
    <row r="89" spans="1:18" s="3" customFormat="1" ht="23.25" x14ac:dyDescent="0.25">
      <c r="A89" s="395"/>
      <c r="B89" s="832"/>
    </row>
    <row r="90" spans="1:18" s="3" customFormat="1" ht="23.25" x14ac:dyDescent="0.25">
      <c r="A90" s="832"/>
      <c r="B90" s="832"/>
      <c r="D90" s="1"/>
      <c r="E90" s="47"/>
    </row>
    <row r="91" spans="1:18" s="3" customFormat="1" ht="23.25" x14ac:dyDescent="0.25">
      <c r="A91" s="832"/>
      <c r="B91" s="832"/>
      <c r="D91" s="1"/>
      <c r="E91" s="47"/>
    </row>
    <row r="92" spans="1:18" s="3" customFormat="1" ht="23.25" x14ac:dyDescent="0.25">
      <c r="A92" s="832"/>
      <c r="B92" s="832"/>
      <c r="D92" s="1"/>
      <c r="E92" s="47"/>
    </row>
    <row r="93" spans="1:18" s="3" customFormat="1" x14ac:dyDescent="0.25">
      <c r="E93" s="47"/>
    </row>
    <row r="94" spans="1:18" s="3" customFormat="1" ht="23.25" x14ac:dyDescent="0.25">
      <c r="A94" s="832"/>
      <c r="B94" s="832"/>
      <c r="D94" s="832"/>
    </row>
    <row r="95" spans="1:18" ht="23.25" x14ac:dyDescent="0.2">
      <c r="A95" s="2513" t="s">
        <v>949</v>
      </c>
      <c r="B95" s="823" t="s">
        <v>1393</v>
      </c>
      <c r="C95" s="837"/>
      <c r="F95" s="839"/>
      <c r="N95" s="3"/>
      <c r="O95" s="3"/>
      <c r="P95" s="3"/>
      <c r="Q95" s="3"/>
      <c r="R95" s="3"/>
    </row>
    <row r="96" spans="1:18" ht="23.25" x14ac:dyDescent="0.2">
      <c r="A96" s="2514"/>
      <c r="B96" s="1547">
        <v>0</v>
      </c>
      <c r="C96" s="840"/>
      <c r="F96" s="841"/>
      <c r="N96" s="3"/>
      <c r="O96" s="3"/>
      <c r="P96" s="3"/>
      <c r="Q96" s="3"/>
      <c r="R96" s="3"/>
    </row>
    <row r="97" spans="1:18" ht="23.25" x14ac:dyDescent="0.35">
      <c r="A97" s="842"/>
      <c r="B97" s="842"/>
      <c r="D97" s="842"/>
      <c r="N97" s="3"/>
      <c r="O97" s="3"/>
      <c r="P97" s="3"/>
      <c r="Q97" s="3"/>
      <c r="R97" s="3"/>
    </row>
  </sheetData>
  <mergeCells count="94">
    <mergeCell ref="C81:D81"/>
    <mergeCell ref="A95:A96"/>
    <mergeCell ref="A74:A76"/>
    <mergeCell ref="B74:B76"/>
    <mergeCell ref="C74:C76"/>
    <mergeCell ref="D74:D76"/>
    <mergeCell ref="A79:D79"/>
    <mergeCell ref="C80:D80"/>
    <mergeCell ref="A77:D77"/>
    <mergeCell ref="B70:D70"/>
    <mergeCell ref="A71:A73"/>
    <mergeCell ref="B71:B73"/>
    <mergeCell ref="C71:C73"/>
    <mergeCell ref="D71:D73"/>
    <mergeCell ref="A61:A63"/>
    <mergeCell ref="B61:B63"/>
    <mergeCell ref="C61:C63"/>
    <mergeCell ref="D61:D63"/>
    <mergeCell ref="A69:D69"/>
    <mergeCell ref="A64:D64"/>
    <mergeCell ref="B65:D65"/>
    <mergeCell ref="A66:A68"/>
    <mergeCell ref="B66:B68"/>
    <mergeCell ref="C66:C68"/>
    <mergeCell ref="D66:D68"/>
    <mergeCell ref="A60:D60"/>
    <mergeCell ref="A57:A59"/>
    <mergeCell ref="B57:B59"/>
    <mergeCell ref="C57:C59"/>
    <mergeCell ref="D57:D59"/>
    <mergeCell ref="A54:A56"/>
    <mergeCell ref="B54:B56"/>
    <mergeCell ref="C54:C56"/>
    <mergeCell ref="D54:D56"/>
    <mergeCell ref="A51:A53"/>
    <mergeCell ref="B51:B53"/>
    <mergeCell ref="C51:C53"/>
    <mergeCell ref="D51:D53"/>
    <mergeCell ref="B40:D40"/>
    <mergeCell ref="A41:A43"/>
    <mergeCell ref="B41:B43"/>
    <mergeCell ref="C41:C43"/>
    <mergeCell ref="D41:D43"/>
    <mergeCell ref="A44:A46"/>
    <mergeCell ref="B44:B46"/>
    <mergeCell ref="C44:C46"/>
    <mergeCell ref="D44:D46"/>
    <mergeCell ref="A47:A49"/>
    <mergeCell ref="B47:B49"/>
    <mergeCell ref="C47:C49"/>
    <mergeCell ref="D47:D49"/>
    <mergeCell ref="A36:A38"/>
    <mergeCell ref="B36:B38"/>
    <mergeCell ref="C36:C38"/>
    <mergeCell ref="D36:D38"/>
    <mergeCell ref="A39:D39"/>
    <mergeCell ref="A30:A32"/>
    <mergeCell ref="B30:B32"/>
    <mergeCell ref="C30:C32"/>
    <mergeCell ref="D30:D32"/>
    <mergeCell ref="A33:A35"/>
    <mergeCell ref="B33:B35"/>
    <mergeCell ref="C33:C35"/>
    <mergeCell ref="D33:D35"/>
    <mergeCell ref="D21:D23"/>
    <mergeCell ref="A27:A29"/>
    <mergeCell ref="B27:B29"/>
    <mergeCell ref="C27:C29"/>
    <mergeCell ref="D27:D29"/>
    <mergeCell ref="A24:A26"/>
    <mergeCell ref="B24:B26"/>
    <mergeCell ref="C24:C26"/>
    <mergeCell ref="D24:D26"/>
    <mergeCell ref="A20:D20"/>
    <mergeCell ref="A21:A23"/>
    <mergeCell ref="B21:B23"/>
    <mergeCell ref="C21:C23"/>
    <mergeCell ref="A11:A13"/>
    <mergeCell ref="B11:B13"/>
    <mergeCell ref="C11:C13"/>
    <mergeCell ref="D11:D13"/>
    <mergeCell ref="A14:A16"/>
    <mergeCell ref="B14:B16"/>
    <mergeCell ref="C14:C16"/>
    <mergeCell ref="D14:D16"/>
    <mergeCell ref="A17:A19"/>
    <mergeCell ref="B17:B19"/>
    <mergeCell ref="C17:C19"/>
    <mergeCell ref="D17:D19"/>
    <mergeCell ref="A1:J5"/>
    <mergeCell ref="A6:D6"/>
    <mergeCell ref="A8:A10"/>
    <mergeCell ref="C8:C10"/>
    <mergeCell ref="D8:D10"/>
  </mergeCells>
  <printOptions horizontalCentered="1"/>
  <pageMargins left="0" right="7.874015748031496E-2" top="0" bottom="0" header="0" footer="0"/>
  <pageSetup paperSize="9" scale="34" orientation="portrait" r:id="rId1"/>
  <headerFooter alignWithMargins="0">
    <oddFooter>&amp;R&amp;16Стр. &amp;P из  &amp;N
&amp;A</oddFooter>
  </headerFooter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E101"/>
  <sheetViews>
    <sheetView topLeftCell="A16" zoomScale="50" zoomScaleNormal="50" zoomScaleSheetLayoutView="40" workbookViewId="0">
      <selection sqref="A1:C2"/>
    </sheetView>
  </sheetViews>
  <sheetFormatPr defaultRowHeight="15" x14ac:dyDescent="0.2"/>
  <cols>
    <col min="1" max="1" width="205.85546875" style="493" customWidth="1"/>
    <col min="2" max="2" width="98.42578125" style="493" customWidth="1"/>
    <col min="3" max="3" width="37.140625" style="493" customWidth="1"/>
    <col min="4" max="4" width="8" style="871" customWidth="1"/>
    <col min="5" max="5" width="19.28515625" style="493" customWidth="1"/>
    <col min="6" max="16384" width="9.140625" style="493"/>
  </cols>
  <sheetData>
    <row r="1" spans="1:5" s="403" customFormat="1" ht="20.25" x14ac:dyDescent="0.25">
      <c r="A1" s="2154"/>
      <c r="B1" s="2154"/>
      <c r="C1" s="2154"/>
      <c r="D1" s="2154"/>
    </row>
    <row r="2" spans="1:5" s="403" customFormat="1" ht="20.25" x14ac:dyDescent="0.25">
      <c r="A2" s="2154"/>
      <c r="B2" s="2154"/>
      <c r="C2" s="2154"/>
      <c r="D2" s="2154"/>
    </row>
    <row r="3" spans="1:5" s="403" customFormat="1" ht="20.25" x14ac:dyDescent="0.25">
      <c r="A3" s="2154"/>
      <c r="B3" s="2154"/>
      <c r="C3" s="2154"/>
      <c r="D3" s="2154"/>
    </row>
    <row r="4" spans="1:5" s="403" customFormat="1" ht="20.25" x14ac:dyDescent="0.25">
      <c r="A4" s="2154"/>
      <c r="B4" s="2154"/>
      <c r="C4" s="2154"/>
      <c r="D4" s="2154"/>
    </row>
    <row r="5" spans="1:5" s="403" customFormat="1" ht="20.25" x14ac:dyDescent="0.25">
      <c r="A5" s="2154"/>
      <c r="B5" s="2154"/>
      <c r="C5" s="2154"/>
      <c r="D5" s="2154"/>
    </row>
    <row r="6" spans="1:5" s="403" customFormat="1" ht="20.25" x14ac:dyDescent="0.25">
      <c r="A6" s="2154"/>
      <c r="B6" s="2154"/>
      <c r="C6" s="2154"/>
      <c r="D6" s="2154"/>
    </row>
    <row r="7" spans="1:5" s="403" customFormat="1" ht="13.5" customHeight="1" thickBot="1" x14ac:dyDescent="0.3">
      <c r="A7" s="2157"/>
      <c r="B7" s="2157"/>
      <c r="C7" s="2157"/>
      <c r="D7" s="2154"/>
    </row>
    <row r="8" spans="1:5" s="403" customFormat="1" ht="30.75" customHeight="1" x14ac:dyDescent="0.25">
      <c r="A8" s="4603" t="s">
        <v>1428</v>
      </c>
      <c r="B8" s="4603"/>
      <c r="C8" s="4603"/>
      <c r="D8" s="2158"/>
    </row>
    <row r="9" spans="1:5" s="844" customFormat="1" ht="22.5" customHeight="1" x14ac:dyDescent="0.25">
      <c r="A9" s="22"/>
      <c r="B9" s="2179" t="s">
        <v>68</v>
      </c>
      <c r="C9" s="2240">
        <v>42491</v>
      </c>
      <c r="D9" s="2160"/>
    </row>
    <row r="10" spans="1:5" s="403" customFormat="1" ht="26.25" x14ac:dyDescent="0.25">
      <c r="A10" s="2148" t="s">
        <v>399</v>
      </c>
      <c r="B10" s="4604" t="s">
        <v>802</v>
      </c>
      <c r="C10" s="4608" t="s">
        <v>1394</v>
      </c>
      <c r="D10" s="2164"/>
      <c r="E10" s="845"/>
    </row>
    <row r="11" spans="1:5" s="403" customFormat="1" ht="26.25" x14ac:dyDescent="0.25">
      <c r="A11" s="846" t="s">
        <v>1409</v>
      </c>
      <c r="B11" s="4605"/>
      <c r="C11" s="4609"/>
      <c r="D11" s="2159"/>
      <c r="E11" s="847"/>
    </row>
    <row r="12" spans="1:5" s="403" customFormat="1" ht="26.25" x14ac:dyDescent="0.25">
      <c r="A12" s="4606" t="s">
        <v>2521</v>
      </c>
      <c r="B12" s="848" t="s">
        <v>1431</v>
      </c>
      <c r="C12" s="2165" t="str">
        <f>ROUND(1390*(1-C97),2)&amp;"  - Easy"</f>
        <v>1390  - Easy</v>
      </c>
      <c r="D12" s="2152"/>
      <c r="E12" s="847"/>
    </row>
    <row r="13" spans="1:5" s="403" customFormat="1" ht="26.25" x14ac:dyDescent="0.25">
      <c r="A13" s="4607"/>
      <c r="B13" s="849" t="s">
        <v>1432</v>
      </c>
      <c r="C13" s="2166" t="str">
        <f>ROUND(2200*(1-C97),2)&amp;"  - Easy"</f>
        <v>2200  - Easy</v>
      </c>
      <c r="D13" s="2153"/>
      <c r="E13" s="847"/>
    </row>
    <row r="14" spans="1:5" s="403" customFormat="1" ht="24.75" customHeight="1" x14ac:dyDescent="0.25">
      <c r="A14" s="4601" t="s">
        <v>3206</v>
      </c>
      <c r="B14" s="848" t="s">
        <v>1433</v>
      </c>
      <c r="C14" s="2167" t="str">
        <f>ROUND(1200*(1-C97),2)&amp;"  - Easy"</f>
        <v>1200  - Easy</v>
      </c>
      <c r="D14" s="2153"/>
      <c r="E14" s="847"/>
    </row>
    <row r="15" spans="1:5" s="403" customFormat="1" ht="27.75" customHeight="1" x14ac:dyDescent="0.25">
      <c r="A15" s="4602"/>
      <c r="B15" s="850" t="s">
        <v>1434</v>
      </c>
      <c r="C15" s="2168" t="str">
        <f>ROUND(1590*(1-C97),2)&amp;"  - Easy"</f>
        <v>1590  - Easy</v>
      </c>
      <c r="D15" s="2152"/>
      <c r="E15" s="847"/>
    </row>
    <row r="16" spans="1:5" s="403" customFormat="1" ht="27.75" customHeight="1" x14ac:dyDescent="0.25">
      <c r="A16" s="2228" t="s">
        <v>3230</v>
      </c>
      <c r="B16" s="858" t="s">
        <v>3229</v>
      </c>
      <c r="C16" s="2169" t="str">
        <f>ROUND(3700*(1-C98),2)&amp;"  - Innovative"</f>
        <v>3700  - Innovative</v>
      </c>
      <c r="D16" s="2152"/>
      <c r="E16" s="847"/>
    </row>
    <row r="17" spans="1:5" s="403" customFormat="1" ht="25.5" customHeight="1" x14ac:dyDescent="0.25">
      <c r="A17" s="4610" t="s">
        <v>2322</v>
      </c>
      <c r="B17" s="848" t="s">
        <v>1431</v>
      </c>
      <c r="C17" s="2165" t="str">
        <f>ROUND(4500*(1-C98),2)&amp;"  - Innovative"</f>
        <v>4500  - Innovative</v>
      </c>
      <c r="D17" s="2160"/>
      <c r="E17" s="847"/>
    </row>
    <row r="18" spans="1:5" s="403" customFormat="1" ht="25.5" customHeight="1" x14ac:dyDescent="0.25">
      <c r="A18" s="4611"/>
      <c r="B18" s="849" t="s">
        <v>1432</v>
      </c>
      <c r="C18" s="2167" t="str">
        <f>ROUND(5400*(1-C98),2)&amp;"  - Innovative"</f>
        <v>5400  - Innovative</v>
      </c>
      <c r="D18" s="2160"/>
      <c r="E18" s="847"/>
    </row>
    <row r="19" spans="1:5" s="403" customFormat="1" ht="26.25" x14ac:dyDescent="0.25">
      <c r="A19" s="4610" t="s">
        <v>2283</v>
      </c>
      <c r="B19" s="848" t="s">
        <v>1433</v>
      </c>
      <c r="C19" s="2165" t="str">
        <f>ROUND(870*(1-C97),2)&amp;"  - Easy"</f>
        <v>870  - Easy</v>
      </c>
      <c r="D19" s="2152"/>
    </row>
    <row r="20" spans="1:5" s="403" customFormat="1" ht="26.25" x14ac:dyDescent="0.25">
      <c r="A20" s="4615"/>
      <c r="B20" s="852" t="s">
        <v>1435</v>
      </c>
      <c r="C20" s="2169" t="str">
        <f>ROUND(1170*(1-C97),2)&amp;"  - Easy"</f>
        <v>1170  - Easy</v>
      </c>
      <c r="D20" s="2152"/>
    </row>
    <row r="21" spans="1:5" s="403" customFormat="1" ht="26.25" x14ac:dyDescent="0.25">
      <c r="A21" s="4611"/>
      <c r="B21" s="853" t="s">
        <v>1436</v>
      </c>
      <c r="C21" s="2168" t="str">
        <f>ROUND(1360*(1-C97),2)&amp;"  - Easy"</f>
        <v>1360  - Easy</v>
      </c>
      <c r="D21" s="2152"/>
    </row>
    <row r="22" spans="1:5" s="403" customFormat="1" ht="26.25" x14ac:dyDescent="0.25">
      <c r="A22" s="854" t="s">
        <v>1437</v>
      </c>
      <c r="B22" s="855" t="s">
        <v>1438</v>
      </c>
      <c r="C22" s="2170" t="str">
        <f>ROUND(13000*(1-C98),2)&amp;"  - Innovative"</f>
        <v>13000  - Innovative</v>
      </c>
      <c r="D22" s="2160"/>
    </row>
    <row r="23" spans="1:5" s="403" customFormat="1" ht="26.25" x14ac:dyDescent="0.25">
      <c r="A23" s="854" t="s">
        <v>1439</v>
      </c>
      <c r="B23" s="855" t="s">
        <v>1440</v>
      </c>
      <c r="C23" s="2170" t="str">
        <f>ROUND(13000*(1-C98),2)&amp;"  - Innovative"</f>
        <v>13000  - Innovative</v>
      </c>
      <c r="D23" s="2160"/>
    </row>
    <row r="24" spans="1:5" s="403" customFormat="1" ht="26.25" x14ac:dyDescent="0.25">
      <c r="A24" s="854" t="s">
        <v>1441</v>
      </c>
      <c r="B24" s="855" t="s">
        <v>1438</v>
      </c>
      <c r="C24" s="2171" t="str">
        <f>ROUND(8500*(1-C98),2)&amp;"  - Innovative"</f>
        <v>8500  - Innovative</v>
      </c>
      <c r="D24" s="2160"/>
    </row>
    <row r="25" spans="1:5" s="403" customFormat="1" ht="26.25" x14ac:dyDescent="0.25">
      <c r="A25" s="856" t="s">
        <v>1442</v>
      </c>
      <c r="B25" s="857"/>
      <c r="C25" s="2172"/>
      <c r="D25" s="2152"/>
    </row>
    <row r="26" spans="1:5" s="403" customFormat="1" ht="26.25" x14ac:dyDescent="0.25">
      <c r="A26" s="4601" t="s">
        <v>2522</v>
      </c>
      <c r="B26" s="848" t="s">
        <v>1443</v>
      </c>
      <c r="C26" s="2165" t="str">
        <f>ROUND(2250*(1-C97),2)&amp;"  - Easy"</f>
        <v>2250  - Easy</v>
      </c>
      <c r="D26" s="2153"/>
    </row>
    <row r="27" spans="1:5" s="403" customFormat="1" ht="26.25" x14ac:dyDescent="0.25">
      <c r="A27" s="4616"/>
      <c r="B27" s="858" t="s">
        <v>1444</v>
      </c>
      <c r="C27" s="2169" t="str">
        <f>ROUND(2700*(1-C97),2)&amp;"  - Easy"</f>
        <v>2700  - Easy</v>
      </c>
      <c r="D27" s="2153"/>
    </row>
    <row r="28" spans="1:5" s="403" customFormat="1" ht="26.25" x14ac:dyDescent="0.25">
      <c r="A28" s="4602"/>
      <c r="B28" s="850" t="s">
        <v>1445</v>
      </c>
      <c r="C28" s="2168" t="str">
        <f>ROUND(3700*(1-C97),2)&amp;"  - Easy"</f>
        <v>3700  - Easy</v>
      </c>
      <c r="D28" s="2155"/>
    </row>
    <row r="29" spans="1:5" s="403" customFormat="1" ht="26.25" x14ac:dyDescent="0.25">
      <c r="A29" s="4601" t="s">
        <v>2284</v>
      </c>
      <c r="B29" s="848" t="s">
        <v>2208</v>
      </c>
      <c r="C29" s="2167" t="str">
        <f>ROUND(2100*(1-C97),2)&amp;"  - Easy"</f>
        <v>2100  - Easy</v>
      </c>
      <c r="D29" s="2153"/>
    </row>
    <row r="30" spans="1:5" s="403" customFormat="1" ht="26.25" x14ac:dyDescent="0.25">
      <c r="A30" s="4616"/>
      <c r="B30" s="852" t="s">
        <v>1444</v>
      </c>
      <c r="C30" s="2173" t="str">
        <f>ROUND(2700*(1-C97),2)&amp;"  - Easy"</f>
        <v>2700  - Easy</v>
      </c>
      <c r="D30" s="2152"/>
    </row>
    <row r="31" spans="1:5" s="403" customFormat="1" ht="26.25" x14ac:dyDescent="0.25">
      <c r="A31" s="4602"/>
      <c r="B31" s="850" t="s">
        <v>1446</v>
      </c>
      <c r="C31" s="2168" t="str">
        <f>ROUND(3700*(1-C97),2)&amp;"  - Easy"</f>
        <v>3700  - Easy</v>
      </c>
      <c r="D31" s="2152"/>
    </row>
    <row r="32" spans="1:5" s="403" customFormat="1" ht="26.25" x14ac:dyDescent="0.25">
      <c r="A32" s="4617" t="s">
        <v>2285</v>
      </c>
      <c r="B32" s="848" t="s">
        <v>1447</v>
      </c>
      <c r="C32" s="2167" t="str">
        <f>ROUND(8000*(1-C98),2)&amp;"  - Innovative"</f>
        <v>8000  - Innovative</v>
      </c>
      <c r="D32" s="2160"/>
    </row>
    <row r="33" spans="1:4" s="403" customFormat="1" ht="26.25" x14ac:dyDescent="0.25">
      <c r="A33" s="4618"/>
      <c r="B33" s="850" t="s">
        <v>1448</v>
      </c>
      <c r="C33" s="2174" t="str">
        <f>ROUND(8500*(1-C98),2)&amp;"  - Innovative"</f>
        <v>8500  - Innovative</v>
      </c>
      <c r="D33" s="2160"/>
    </row>
    <row r="34" spans="1:4" s="403" customFormat="1" ht="26.25" x14ac:dyDescent="0.25">
      <c r="A34" s="4610" t="s">
        <v>1449</v>
      </c>
      <c r="B34" s="848" t="s">
        <v>1450</v>
      </c>
      <c r="C34" s="2167" t="str">
        <f>ROUND(1100*(1-C97),2)&amp;"  - Easy"</f>
        <v>1100  - Easy</v>
      </c>
      <c r="D34" s="2152"/>
    </row>
    <row r="35" spans="1:4" s="403" customFormat="1" ht="26.25" x14ac:dyDescent="0.25">
      <c r="A35" s="4611"/>
      <c r="B35" s="850" t="s">
        <v>1451</v>
      </c>
      <c r="C35" s="2174" t="str">
        <f>ROUND(1450*(1-C97),2)&amp;"  - Easy"</f>
        <v>1450  - Easy</v>
      </c>
      <c r="D35" s="2152"/>
    </row>
    <row r="36" spans="1:4" s="403" customFormat="1" ht="26.25" x14ac:dyDescent="0.25">
      <c r="A36" s="2149" t="s">
        <v>1452</v>
      </c>
      <c r="B36" s="848" t="s">
        <v>1453</v>
      </c>
      <c r="C36" s="2167" t="str">
        <f>ROUND(1300*(1-C97),2)&amp;"  - Easy"</f>
        <v>1300  - Easy</v>
      </c>
      <c r="D36" s="2155"/>
    </row>
    <row r="37" spans="1:4" s="403" customFormat="1" ht="26.25" x14ac:dyDescent="0.25">
      <c r="A37" s="856" t="s">
        <v>2265</v>
      </c>
      <c r="B37" s="856"/>
      <c r="C37" s="2175"/>
      <c r="D37" s="2161"/>
    </row>
    <row r="38" spans="1:4" s="403" customFormat="1" ht="26.25" x14ac:dyDescent="0.25">
      <c r="A38" s="2149" t="s">
        <v>2264</v>
      </c>
      <c r="B38" s="855" t="s">
        <v>2266</v>
      </c>
      <c r="C38" s="2167" t="str">
        <f>ROUND(350*(1-C97),2)&amp;"  - Easy"</f>
        <v>350  - Easy</v>
      </c>
      <c r="D38" s="2155"/>
    </row>
    <row r="39" spans="1:4" s="403" customFormat="1" ht="26.25" x14ac:dyDescent="0.25">
      <c r="A39" s="846" t="s">
        <v>1454</v>
      </c>
      <c r="B39" s="857"/>
      <c r="C39" s="2172"/>
      <c r="D39" s="2152"/>
    </row>
    <row r="40" spans="1:4" s="403" customFormat="1" ht="26.25" x14ac:dyDescent="0.25">
      <c r="A40" s="4606" t="s">
        <v>2286</v>
      </c>
      <c r="B40" s="848" t="s">
        <v>1455</v>
      </c>
      <c r="C40" s="2167" t="str">
        <f>ROUND(1200*(1-C97),2)&amp;"  - Easy"</f>
        <v>1200  - Easy</v>
      </c>
      <c r="D40" s="2152"/>
    </row>
    <row r="41" spans="1:4" s="403" customFormat="1" ht="26.25" x14ac:dyDescent="0.25">
      <c r="A41" s="4619"/>
      <c r="B41" s="850" t="s">
        <v>1456</v>
      </c>
      <c r="C41" s="2174" t="str">
        <f>ROUND(1800*(1-C97),2)&amp;"  - Easy"</f>
        <v>1800  - Easy</v>
      </c>
      <c r="D41" s="2152"/>
    </row>
    <row r="42" spans="1:4" s="403" customFormat="1" ht="26.25" customHeight="1" x14ac:dyDescent="0.25">
      <c r="A42" s="2150" t="s">
        <v>2287</v>
      </c>
      <c r="B42" s="848" t="s">
        <v>1457</v>
      </c>
      <c r="C42" s="2176" t="str">
        <f>ROUND(3300*(1-C98),2)&amp;"  - Innovative"</f>
        <v>3300  - Innovative</v>
      </c>
      <c r="D42" s="2160"/>
    </row>
    <row r="43" spans="1:4" s="403" customFormat="1" ht="26.25" x14ac:dyDescent="0.25">
      <c r="A43" s="4620" t="s">
        <v>2288</v>
      </c>
      <c r="B43" s="848" t="s">
        <v>1455</v>
      </c>
      <c r="C43" s="2165" t="str">
        <f>ROUND(550*(1-C97),2)&amp;"  - Easy"</f>
        <v>550  - Easy</v>
      </c>
      <c r="D43" s="2152"/>
    </row>
    <row r="44" spans="1:4" s="403" customFormat="1" ht="26.25" x14ac:dyDescent="0.25">
      <c r="A44" s="4621"/>
      <c r="B44" s="853" t="s">
        <v>1458</v>
      </c>
      <c r="C44" s="2177" t="str">
        <f>ROUND(1400*(1-C97),2)&amp;"  - Easy"</f>
        <v>1400  - Easy</v>
      </c>
      <c r="D44" s="2152"/>
    </row>
    <row r="45" spans="1:4" s="403" customFormat="1" ht="26.25" x14ac:dyDescent="0.25">
      <c r="A45" s="4622" t="s">
        <v>2289</v>
      </c>
      <c r="B45" s="848" t="s">
        <v>1455</v>
      </c>
      <c r="C45" s="2165" t="str">
        <f>ROUND(1100*(1-C98),2)&amp;"  - Innovative"</f>
        <v>1100  - Innovative</v>
      </c>
      <c r="D45" s="2160"/>
    </row>
    <row r="46" spans="1:4" s="403" customFormat="1" ht="26.25" x14ac:dyDescent="0.25">
      <c r="A46" s="4623"/>
      <c r="B46" s="853" t="s">
        <v>1456</v>
      </c>
      <c r="C46" s="2177" t="str">
        <f>ROUND(2200*(1-C98),2)&amp;"  - Innovative"</f>
        <v>2200  - Innovative</v>
      </c>
      <c r="D46" s="2160"/>
    </row>
    <row r="47" spans="1:4" s="403" customFormat="1" ht="51.75" x14ac:dyDescent="0.25">
      <c r="A47" s="859" t="s">
        <v>1459</v>
      </c>
      <c r="B47" s="860" t="s">
        <v>1460</v>
      </c>
      <c r="C47" s="2170" t="str">
        <f>ROUND(2300*(1-C98),2)&amp;"  - Innovative"</f>
        <v>2300  - Innovative</v>
      </c>
      <c r="D47" s="2160"/>
    </row>
    <row r="48" spans="1:4" s="403" customFormat="1" ht="26.25" x14ac:dyDescent="0.25">
      <c r="A48" s="846" t="s">
        <v>1461</v>
      </c>
      <c r="B48" s="857"/>
      <c r="C48" s="2172"/>
      <c r="D48" s="2152"/>
    </row>
    <row r="49" spans="1:4" s="403" customFormat="1" ht="26.25" customHeight="1" x14ac:dyDescent="0.25">
      <c r="A49" s="2151" t="s">
        <v>1462</v>
      </c>
      <c r="B49" s="848" t="s">
        <v>1463</v>
      </c>
      <c r="C49" s="2165" t="str">
        <f>ROUND(11000*(1-C98),2)&amp;"  - Innovative"</f>
        <v>11000  - Innovative</v>
      </c>
      <c r="D49" s="2160"/>
    </row>
    <row r="50" spans="1:4" s="403" customFormat="1" ht="26.25" x14ac:dyDescent="0.25">
      <c r="A50" s="4624" t="s">
        <v>2290</v>
      </c>
      <c r="B50" s="851" t="s">
        <v>1455</v>
      </c>
      <c r="C50" s="2167" t="str">
        <f>ROUND(3600*(1-C97),2)&amp;"  - Easy"</f>
        <v>3600  - Easy</v>
      </c>
      <c r="D50" s="2152"/>
    </row>
    <row r="51" spans="1:4" s="403" customFormat="1" ht="26.25" x14ac:dyDescent="0.25">
      <c r="A51" s="4625"/>
      <c r="B51" s="861" t="s">
        <v>1464</v>
      </c>
      <c r="C51" s="2174" t="str">
        <f>ROUND(4400*(1-C97),2)&amp;"  - Easy"</f>
        <v>4400  - Easy</v>
      </c>
      <c r="D51" s="2152"/>
    </row>
    <row r="52" spans="1:4" s="403" customFormat="1" ht="26.25" x14ac:dyDescent="0.25">
      <c r="A52" s="4613" t="s">
        <v>1465</v>
      </c>
      <c r="B52" s="848" t="s">
        <v>1460</v>
      </c>
      <c r="C52" s="2167" t="str">
        <f>ROUND(23000*(1-C98),2)&amp;"  - Innovative"</f>
        <v>23000  - Innovative</v>
      </c>
      <c r="D52" s="2160"/>
    </row>
    <row r="53" spans="1:4" s="403" customFormat="1" ht="26.25" x14ac:dyDescent="0.25">
      <c r="A53" s="4614"/>
      <c r="B53" s="862" t="s">
        <v>1466</v>
      </c>
      <c r="C53" s="2177" t="str">
        <f>ROUND(23000*(1-C98),2)&amp;"  - Innovative"</f>
        <v>23000  - Innovative</v>
      </c>
      <c r="D53" s="2160"/>
    </row>
    <row r="54" spans="1:4" s="403" customFormat="1" ht="26.25" x14ac:dyDescent="0.25">
      <c r="A54" s="4613" t="s">
        <v>1467</v>
      </c>
      <c r="B54" s="863" t="s">
        <v>1460</v>
      </c>
      <c r="C54" s="2167" t="str">
        <f>ROUND(26000*(1-C98),2)&amp;"  - Innovative"</f>
        <v>26000  - Innovative</v>
      </c>
      <c r="D54" s="2160"/>
    </row>
    <row r="55" spans="1:4" s="403" customFormat="1" ht="26.25" x14ac:dyDescent="0.25">
      <c r="A55" s="4614"/>
      <c r="B55" s="862" t="s">
        <v>1466</v>
      </c>
      <c r="C55" s="2177" t="str">
        <f>ROUND(26000*(1-C98),2)&amp;"  - Innovative"</f>
        <v>26000  - Innovative</v>
      </c>
      <c r="D55" s="2160"/>
    </row>
    <row r="56" spans="1:4" s="403" customFormat="1" ht="26.25" x14ac:dyDescent="0.25">
      <c r="A56" s="4613" t="s">
        <v>1468</v>
      </c>
      <c r="B56" s="863" t="s">
        <v>1460</v>
      </c>
      <c r="C56" s="2167" t="str">
        <f>ROUND(28000*(1-C98),2)&amp;"  - Innovative"</f>
        <v>28000  - Innovative</v>
      </c>
      <c r="D56" s="2160"/>
    </row>
    <row r="57" spans="1:4" s="403" customFormat="1" ht="26.25" x14ac:dyDescent="0.25">
      <c r="A57" s="4614"/>
      <c r="B57" s="862" t="s">
        <v>1466</v>
      </c>
      <c r="C57" s="2177" t="str">
        <f>ROUND(28000*(1-C98),2)&amp;"  - Innovative"</f>
        <v>28000  - Innovative</v>
      </c>
      <c r="D57" s="2160"/>
    </row>
    <row r="58" spans="1:4" s="403" customFormat="1" ht="26.25" x14ac:dyDescent="0.25">
      <c r="A58" s="846" t="s">
        <v>1469</v>
      </c>
      <c r="B58" s="864"/>
      <c r="C58" s="2178"/>
      <c r="D58" s="2152"/>
    </row>
    <row r="59" spans="1:4" s="403" customFormat="1" ht="26.25" x14ac:dyDescent="0.25">
      <c r="A59" s="854" t="s">
        <v>1470</v>
      </c>
      <c r="B59" s="865" t="s">
        <v>1471</v>
      </c>
      <c r="C59" s="2171" t="str">
        <f>ROUND(12500*(1-C98),2)&amp;"  - Comfort"</f>
        <v>12500  - Comfort</v>
      </c>
      <c r="D59" s="2153"/>
    </row>
    <row r="60" spans="1:4" s="403" customFormat="1" ht="26.25" x14ac:dyDescent="0.25">
      <c r="A60" s="854" t="s">
        <v>1472</v>
      </c>
      <c r="B60" s="865" t="s">
        <v>1473</v>
      </c>
      <c r="C60" s="2171" t="str">
        <f>ROUND(16000*(1-C98),2)&amp;"  - Comfort"</f>
        <v>16000  - Comfort</v>
      </c>
      <c r="D60" s="2153"/>
    </row>
    <row r="61" spans="1:4" s="403" customFormat="1" ht="26.25" x14ac:dyDescent="0.25">
      <c r="A61" s="846" t="s">
        <v>1474</v>
      </c>
      <c r="B61" s="864"/>
      <c r="C61" s="2178"/>
      <c r="D61" s="2152"/>
    </row>
    <row r="62" spans="1:4" s="403" customFormat="1" ht="26.25" x14ac:dyDescent="0.25">
      <c r="A62" s="854" t="s">
        <v>1475</v>
      </c>
      <c r="B62" s="865" t="s">
        <v>1476</v>
      </c>
      <c r="C62" s="2170" t="str">
        <f>ROUND(2000*(1-C98),2)&amp;"  - Innovative"</f>
        <v>2000  - Innovative</v>
      </c>
      <c r="D62" s="2160"/>
    </row>
    <row r="63" spans="1:4" s="403" customFormat="1" ht="26.25" x14ac:dyDescent="0.25">
      <c r="A63" s="854" t="s">
        <v>1477</v>
      </c>
      <c r="B63" s="865" t="s">
        <v>1478</v>
      </c>
      <c r="C63" s="2170" t="str">
        <f>ROUND(3100*(1-C98),2)&amp;"  - Innovative"</f>
        <v>3100  - Innovative</v>
      </c>
      <c r="D63" s="2160"/>
    </row>
    <row r="64" spans="1:4" s="403" customFormat="1" ht="26.25" x14ac:dyDescent="0.25">
      <c r="A64" s="854" t="s">
        <v>1479</v>
      </c>
      <c r="B64" s="865" t="s">
        <v>1460</v>
      </c>
      <c r="C64" s="2170" t="str">
        <f>ROUND(5000*(1-C98),2)&amp;"  - Innovative"</f>
        <v>5000  - Innovative</v>
      </c>
      <c r="D64" s="2160"/>
    </row>
    <row r="65" spans="1:4" s="403" customFormat="1" ht="26.25" x14ac:dyDescent="0.25">
      <c r="A65" s="846" t="s">
        <v>1480</v>
      </c>
      <c r="B65" s="864"/>
      <c r="C65" s="2178"/>
      <c r="D65" s="2152"/>
    </row>
    <row r="66" spans="1:4" s="403" customFormat="1" ht="77.25" x14ac:dyDescent="0.25">
      <c r="A66" s="867" t="s">
        <v>1481</v>
      </c>
      <c r="B66" s="865" t="s">
        <v>1482</v>
      </c>
      <c r="C66" s="2171" t="str">
        <f>ROUND(3000*(1-C99),2)&amp;"  - Comfort"</f>
        <v>3000  - Comfort</v>
      </c>
      <c r="D66" s="2160"/>
    </row>
    <row r="67" spans="1:4" s="403" customFormat="1" ht="51.75" x14ac:dyDescent="0.25">
      <c r="A67" s="867" t="s">
        <v>1483</v>
      </c>
      <c r="B67" s="865" t="s">
        <v>1482</v>
      </c>
      <c r="C67" s="2171" t="str">
        <f>ROUND(4000*(1-C99),2)&amp;"  - Comfort"</f>
        <v>4000  - Comfort</v>
      </c>
      <c r="D67" s="2160"/>
    </row>
    <row r="68" spans="1:4" s="403" customFormat="1" ht="26.25" x14ac:dyDescent="0.25">
      <c r="A68" s="846" t="s">
        <v>1484</v>
      </c>
      <c r="B68" s="846"/>
      <c r="C68" s="2178"/>
      <c r="D68" s="2162"/>
    </row>
    <row r="69" spans="1:4" s="403" customFormat="1" ht="26.25" x14ac:dyDescent="0.25">
      <c r="A69" s="868" t="s">
        <v>1485</v>
      </c>
      <c r="B69" s="865" t="s">
        <v>1476</v>
      </c>
      <c r="C69" s="2171" t="str">
        <f>ROUND(7600*(1-C98),2)&amp;"  - Innovative"</f>
        <v>7600  - Innovative</v>
      </c>
      <c r="D69" s="2160"/>
    </row>
    <row r="70" spans="1:4" s="403" customFormat="1" ht="26.25" x14ac:dyDescent="0.25">
      <c r="A70" s="854" t="s">
        <v>1486</v>
      </c>
      <c r="B70" s="865" t="s">
        <v>1478</v>
      </c>
      <c r="C70" s="2171" t="str">
        <f>ROUND(11000*(1-C98),2)&amp;"  - Innovative"</f>
        <v>11000  - Innovative</v>
      </c>
      <c r="D70" s="2160"/>
    </row>
    <row r="71" spans="1:4" s="403" customFormat="1" ht="51.75" x14ac:dyDescent="0.25">
      <c r="A71" s="867" t="s">
        <v>1487</v>
      </c>
      <c r="B71" s="865" t="s">
        <v>1460</v>
      </c>
      <c r="C71" s="2170" t="str">
        <f>ROUND(7800*(1-C98),2)&amp;"  - Innovative"</f>
        <v>7800  - Innovative</v>
      </c>
      <c r="D71" s="2160"/>
    </row>
    <row r="72" spans="1:4" s="403" customFormat="1" ht="51.75" x14ac:dyDescent="0.25">
      <c r="A72" s="867" t="s">
        <v>1488</v>
      </c>
      <c r="B72" s="865" t="s">
        <v>1460</v>
      </c>
      <c r="C72" s="2170" t="str">
        <f>ROUND(8600*(1-C98),2)&amp;"  - Innovative"</f>
        <v>8600  - Innovative</v>
      </c>
      <c r="D72" s="2160"/>
    </row>
    <row r="73" spans="1:4" s="403" customFormat="1" ht="51.75" x14ac:dyDescent="0.25">
      <c r="A73" s="867" t="s">
        <v>1489</v>
      </c>
      <c r="B73" s="865" t="s">
        <v>1478</v>
      </c>
      <c r="C73" s="2171" t="str">
        <f>ROUND(10000*(1-C98),2)&amp;"  - Innovative"</f>
        <v>10000  - Innovative</v>
      </c>
      <c r="D73" s="2160"/>
    </row>
    <row r="74" spans="1:4" s="403" customFormat="1" ht="26.25" x14ac:dyDescent="0.25">
      <c r="A74" s="867" t="s">
        <v>1490</v>
      </c>
      <c r="B74" s="865" t="s">
        <v>1478</v>
      </c>
      <c r="C74" s="2170" t="str">
        <f>ROUND(4400*(1-C98),2)&amp;"  - Innovative"</f>
        <v>4400  - Innovative</v>
      </c>
      <c r="D74" s="2160"/>
    </row>
    <row r="75" spans="1:4" s="403" customFormat="1" ht="26.25" x14ac:dyDescent="0.25">
      <c r="A75" s="867" t="s">
        <v>1491</v>
      </c>
      <c r="B75" s="865" t="s">
        <v>1478</v>
      </c>
      <c r="C75" s="2170" t="str">
        <f>ROUND(5000*(1-C98),2)&amp;"  - Innovative"</f>
        <v>5000  - Innovative</v>
      </c>
      <c r="D75" s="2160"/>
    </row>
    <row r="76" spans="1:4" s="403" customFormat="1" ht="26.25" x14ac:dyDescent="0.25">
      <c r="A76" s="867" t="s">
        <v>1492</v>
      </c>
      <c r="B76" s="865" t="s">
        <v>1460</v>
      </c>
      <c r="C76" s="2171" t="str">
        <f>ROUND(5000*(1-C98),2)&amp;"  - Innovative"</f>
        <v>5000  - Innovative</v>
      </c>
      <c r="D76" s="2160"/>
    </row>
    <row r="77" spans="1:4" s="403" customFormat="1" ht="26.25" x14ac:dyDescent="0.25">
      <c r="A77" s="846" t="s">
        <v>1493</v>
      </c>
      <c r="B77" s="864"/>
      <c r="C77" s="2178"/>
      <c r="D77" s="2162"/>
    </row>
    <row r="78" spans="1:4" s="403" customFormat="1" ht="26.25" x14ac:dyDescent="0.25">
      <c r="A78" s="854" t="s">
        <v>2291</v>
      </c>
      <c r="B78" s="866" t="s">
        <v>17</v>
      </c>
      <c r="C78" s="2171" t="str">
        <f>ROUND(1150*(1-C97),2)&amp;"  - Easy"</f>
        <v>1150  - Easy</v>
      </c>
      <c r="D78" s="2155"/>
    </row>
    <row r="79" spans="1:4" s="403" customFormat="1" ht="26.25" x14ac:dyDescent="0.25">
      <c r="A79" s="854" t="s">
        <v>2292</v>
      </c>
      <c r="B79" s="866" t="s">
        <v>17</v>
      </c>
      <c r="C79" s="2171" t="str">
        <f>ROUND(1400*(1-C97),2)&amp;"  - Easy"</f>
        <v>1400  - Easy</v>
      </c>
      <c r="D79" s="2155"/>
    </row>
    <row r="80" spans="1:4" s="403" customFormat="1" ht="26.25" x14ac:dyDescent="0.25">
      <c r="A80" s="854" t="s">
        <v>2293</v>
      </c>
      <c r="B80" s="866" t="s">
        <v>17</v>
      </c>
      <c r="C80" s="2171" t="str">
        <f>ROUND(1500*(1-C97),2)&amp;"  - Easy"</f>
        <v>1500  - Easy</v>
      </c>
      <c r="D80" s="2155"/>
    </row>
    <row r="81" spans="1:5" s="403" customFormat="1" ht="26.25" x14ac:dyDescent="0.25">
      <c r="A81" s="854" t="s">
        <v>2294</v>
      </c>
      <c r="B81" s="866" t="s">
        <v>17</v>
      </c>
      <c r="C81" s="2171" t="str">
        <f>ROUND(3500*(1-C97),2)&amp;"  - Easy"</f>
        <v>3500  - Easy</v>
      </c>
      <c r="D81" s="2155"/>
    </row>
    <row r="82" spans="1:5" s="403" customFormat="1" ht="26.25" x14ac:dyDescent="0.25">
      <c r="A82" s="854" t="s">
        <v>2295</v>
      </c>
      <c r="B82" s="866" t="s">
        <v>17</v>
      </c>
      <c r="C82" s="2171" t="str">
        <f>ROUND(6500*(1-C97),2)&amp;"  - Easy"</f>
        <v>6500  - Easy</v>
      </c>
      <c r="D82" s="2155"/>
    </row>
    <row r="83" spans="1:5" s="403" customFormat="1" ht="26.25" x14ac:dyDescent="0.25">
      <c r="A83" s="854" t="s">
        <v>2296</v>
      </c>
      <c r="B83" s="866" t="s">
        <v>17</v>
      </c>
      <c r="C83" s="2171" t="str">
        <f>ROUND(3000*(1-C97),2)&amp;"  - Easy"</f>
        <v>3000  - Easy</v>
      </c>
      <c r="D83" s="2155"/>
    </row>
    <row r="84" spans="1:5" s="403" customFormat="1" ht="26.25" x14ac:dyDescent="0.25">
      <c r="A84" s="854" t="s">
        <v>2297</v>
      </c>
      <c r="B84" s="866" t="s">
        <v>17</v>
      </c>
      <c r="C84" s="2171" t="str">
        <f>ROUND(5000*(1-C97),2)&amp;"  - Easy"</f>
        <v>5000  - Easy</v>
      </c>
      <c r="D84" s="2155"/>
    </row>
    <row r="85" spans="1:5" s="403" customFormat="1" ht="26.25" x14ac:dyDescent="0.25">
      <c r="A85" s="4600" t="s">
        <v>1844</v>
      </c>
      <c r="B85" s="4600"/>
      <c r="C85" s="4600"/>
      <c r="D85" s="2161"/>
    </row>
    <row r="86" spans="1:5" s="403" customFormat="1" ht="26.25" x14ac:dyDescent="0.25">
      <c r="A86" s="1034" t="s">
        <v>631</v>
      </c>
      <c r="B86" s="1552" t="s">
        <v>107</v>
      </c>
      <c r="C86" s="2147">
        <v>403</v>
      </c>
      <c r="D86" s="2163"/>
    </row>
    <row r="87" spans="1:5" s="403" customFormat="1" ht="26.25" x14ac:dyDescent="0.25">
      <c r="A87" s="1034" t="s">
        <v>2378</v>
      </c>
      <c r="B87" s="1552" t="s">
        <v>107</v>
      </c>
      <c r="C87" s="2147">
        <v>250</v>
      </c>
      <c r="D87" s="2163"/>
    </row>
    <row r="88" spans="1:5" s="403" customFormat="1" ht="20.25" x14ac:dyDescent="0.25">
      <c r="A88" s="834"/>
      <c r="D88" s="2156"/>
    </row>
    <row r="89" spans="1:5" s="403" customFormat="1" ht="25.5" x14ac:dyDescent="0.25">
      <c r="A89" s="790" t="s">
        <v>2298</v>
      </c>
      <c r="D89" s="2156"/>
    </row>
    <row r="90" spans="1:5" s="403" customFormat="1" ht="25.5" x14ac:dyDescent="0.25">
      <c r="A90" s="869" t="s">
        <v>1494</v>
      </c>
      <c r="D90" s="843"/>
    </row>
    <row r="91" spans="1:5" s="403" customFormat="1" ht="25.5" x14ac:dyDescent="0.25">
      <c r="A91" s="869" t="s">
        <v>2299</v>
      </c>
      <c r="D91" s="843"/>
    </row>
    <row r="92" spans="1:5" s="403" customFormat="1" ht="25.5" x14ac:dyDescent="0.35">
      <c r="A92" s="1535" t="s">
        <v>2259</v>
      </c>
    </row>
    <row r="93" spans="1:5" s="403" customFormat="1" ht="25.5" x14ac:dyDescent="0.25">
      <c r="A93" s="790"/>
      <c r="B93" s="1"/>
      <c r="C93" s="1"/>
      <c r="D93" s="47"/>
      <c r="E93" s="47"/>
    </row>
    <row r="94" spans="1:5" s="403" customFormat="1" ht="23.25" x14ac:dyDescent="0.25">
      <c r="A94" s="870"/>
      <c r="B94" s="1"/>
      <c r="C94" s="1"/>
      <c r="D94" s="47"/>
      <c r="E94" s="47"/>
    </row>
    <row r="95" spans="1:5" s="403" customFormat="1" ht="20.25" x14ac:dyDescent="0.25">
      <c r="D95" s="47"/>
      <c r="E95" s="47"/>
    </row>
    <row r="96" spans="1:5" s="403" customFormat="1" ht="20.25" x14ac:dyDescent="0.25">
      <c r="D96" s="843"/>
    </row>
    <row r="97" spans="1:3" ht="26.25" customHeight="1" x14ac:dyDescent="0.2">
      <c r="A97" s="4612" t="s">
        <v>949</v>
      </c>
      <c r="B97" s="2148" t="s">
        <v>1429</v>
      </c>
      <c r="C97" s="872">
        <v>0</v>
      </c>
    </row>
    <row r="98" spans="1:3" ht="26.25" customHeight="1" x14ac:dyDescent="0.2">
      <c r="A98" s="4612"/>
      <c r="B98" s="2148" t="s">
        <v>1430</v>
      </c>
      <c r="C98" s="872">
        <v>0</v>
      </c>
    </row>
    <row r="99" spans="1:3" ht="26.25" customHeight="1" x14ac:dyDescent="0.2">
      <c r="A99" s="4612"/>
      <c r="B99" s="2148" t="s">
        <v>3195</v>
      </c>
      <c r="C99" s="872">
        <v>0</v>
      </c>
    </row>
    <row r="100" spans="1:3" ht="15" customHeight="1" x14ac:dyDescent="0.2"/>
    <row r="101" spans="1:3" ht="15" customHeight="1" x14ac:dyDescent="0.2"/>
  </sheetData>
  <mergeCells count="20">
    <mergeCell ref="A17:A18"/>
    <mergeCell ref="A85:C85"/>
    <mergeCell ref="A97:A99"/>
    <mergeCell ref="A56:A57"/>
    <mergeCell ref="A19:A21"/>
    <mergeCell ref="A26:A28"/>
    <mergeCell ref="A29:A31"/>
    <mergeCell ref="A32:A33"/>
    <mergeCell ref="A34:A35"/>
    <mergeCell ref="A40:A41"/>
    <mergeCell ref="A43:A44"/>
    <mergeCell ref="A45:A46"/>
    <mergeCell ref="A50:A51"/>
    <mergeCell ref="A52:A53"/>
    <mergeCell ref="A54:A55"/>
    <mergeCell ref="A14:A15"/>
    <mergeCell ref="A8:C8"/>
    <mergeCell ref="B10:B11"/>
    <mergeCell ref="A12:A13"/>
    <mergeCell ref="C10:C11"/>
  </mergeCells>
  <printOptions horizontalCentered="1"/>
  <pageMargins left="0" right="7.874015748031496E-2" top="0" bottom="0" header="0" footer="0"/>
  <pageSetup paperSize="9" scale="28" orientation="portrait" r:id="rId1"/>
  <headerFooter alignWithMargins="0">
    <oddFooter>&amp;R&amp;24Стр. &amp;P из  &amp;N
&amp;A</oddFooter>
  </headerFooter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56"/>
  <sheetViews>
    <sheetView topLeftCell="A25" zoomScaleNormal="100" workbookViewId="0">
      <selection activeCell="J33" sqref="J33:J34"/>
    </sheetView>
  </sheetViews>
  <sheetFormatPr defaultRowHeight="12.75" x14ac:dyDescent="0.2"/>
  <cols>
    <col min="1" max="1" width="20.85546875" style="1654" customWidth="1"/>
    <col min="2" max="2" width="16.42578125" style="1654" customWidth="1"/>
    <col min="3" max="3" width="13.140625" style="1654" customWidth="1"/>
    <col min="4" max="4" width="10.28515625" style="1654" customWidth="1"/>
    <col min="5" max="5" width="14.85546875" style="1654" customWidth="1"/>
    <col min="6" max="6" width="9" style="1654" customWidth="1"/>
    <col min="7" max="7" width="8.140625" style="1654" customWidth="1"/>
    <col min="8" max="8" width="8.7109375" style="1654" customWidth="1"/>
    <col min="9" max="9" width="12" style="1654" customWidth="1"/>
    <col min="10" max="10" width="9.85546875" style="1654" customWidth="1"/>
    <col min="11" max="11" width="9.140625" style="1654" customWidth="1"/>
    <col min="12" max="12" width="8" style="1658" customWidth="1"/>
    <col min="13" max="256" width="9.140625" style="1658"/>
    <col min="257" max="257" width="20.85546875" style="1658" customWidth="1"/>
    <col min="258" max="258" width="16.42578125" style="1658" customWidth="1"/>
    <col min="259" max="259" width="13.140625" style="1658" customWidth="1"/>
    <col min="260" max="260" width="10.28515625" style="1658" customWidth="1"/>
    <col min="261" max="261" width="14.85546875" style="1658" customWidth="1"/>
    <col min="262" max="262" width="9" style="1658" customWidth="1"/>
    <col min="263" max="263" width="8.140625" style="1658" customWidth="1"/>
    <col min="264" max="264" width="8.7109375" style="1658" customWidth="1"/>
    <col min="265" max="265" width="12" style="1658" customWidth="1"/>
    <col min="266" max="266" width="9.85546875" style="1658" customWidth="1"/>
    <col min="267" max="267" width="9.140625" style="1658" customWidth="1"/>
    <col min="268" max="268" width="8" style="1658" customWidth="1"/>
    <col min="269" max="512" width="9.140625" style="1658"/>
    <col min="513" max="513" width="20.85546875" style="1658" customWidth="1"/>
    <col min="514" max="514" width="16.42578125" style="1658" customWidth="1"/>
    <col min="515" max="515" width="13.140625" style="1658" customWidth="1"/>
    <col min="516" max="516" width="10.28515625" style="1658" customWidth="1"/>
    <col min="517" max="517" width="14.85546875" style="1658" customWidth="1"/>
    <col min="518" max="518" width="9" style="1658" customWidth="1"/>
    <col min="519" max="519" width="8.140625" style="1658" customWidth="1"/>
    <col min="520" max="520" width="8.7109375" style="1658" customWidth="1"/>
    <col min="521" max="521" width="12" style="1658" customWidth="1"/>
    <col min="522" max="522" width="9.85546875" style="1658" customWidth="1"/>
    <col min="523" max="523" width="9.140625" style="1658" customWidth="1"/>
    <col min="524" max="524" width="8" style="1658" customWidth="1"/>
    <col min="525" max="768" width="9.140625" style="1658"/>
    <col min="769" max="769" width="20.85546875" style="1658" customWidth="1"/>
    <col min="770" max="770" width="16.42578125" style="1658" customWidth="1"/>
    <col min="771" max="771" width="13.140625" style="1658" customWidth="1"/>
    <col min="772" max="772" width="10.28515625" style="1658" customWidth="1"/>
    <col min="773" max="773" width="14.85546875" style="1658" customWidth="1"/>
    <col min="774" max="774" width="9" style="1658" customWidth="1"/>
    <col min="775" max="775" width="8.140625" style="1658" customWidth="1"/>
    <col min="776" max="776" width="8.7109375" style="1658" customWidth="1"/>
    <col min="777" max="777" width="12" style="1658" customWidth="1"/>
    <col min="778" max="778" width="9.85546875" style="1658" customWidth="1"/>
    <col min="779" max="779" width="9.140625" style="1658" customWidth="1"/>
    <col min="780" max="780" width="8" style="1658" customWidth="1"/>
    <col min="781" max="1024" width="9.140625" style="1658"/>
    <col min="1025" max="1025" width="20.85546875" style="1658" customWidth="1"/>
    <col min="1026" max="1026" width="16.42578125" style="1658" customWidth="1"/>
    <col min="1027" max="1027" width="13.140625" style="1658" customWidth="1"/>
    <col min="1028" max="1028" width="10.28515625" style="1658" customWidth="1"/>
    <col min="1029" max="1029" width="14.85546875" style="1658" customWidth="1"/>
    <col min="1030" max="1030" width="9" style="1658" customWidth="1"/>
    <col min="1031" max="1031" width="8.140625" style="1658" customWidth="1"/>
    <col min="1032" max="1032" width="8.7109375" style="1658" customWidth="1"/>
    <col min="1033" max="1033" width="12" style="1658" customWidth="1"/>
    <col min="1034" max="1034" width="9.85546875" style="1658" customWidth="1"/>
    <col min="1035" max="1035" width="9.140625" style="1658" customWidth="1"/>
    <col min="1036" max="1036" width="8" style="1658" customWidth="1"/>
    <col min="1037" max="1280" width="9.140625" style="1658"/>
    <col min="1281" max="1281" width="20.85546875" style="1658" customWidth="1"/>
    <col min="1282" max="1282" width="16.42578125" style="1658" customWidth="1"/>
    <col min="1283" max="1283" width="13.140625" style="1658" customWidth="1"/>
    <col min="1284" max="1284" width="10.28515625" style="1658" customWidth="1"/>
    <col min="1285" max="1285" width="14.85546875" style="1658" customWidth="1"/>
    <col min="1286" max="1286" width="9" style="1658" customWidth="1"/>
    <col min="1287" max="1287" width="8.140625" style="1658" customWidth="1"/>
    <col min="1288" max="1288" width="8.7109375" style="1658" customWidth="1"/>
    <col min="1289" max="1289" width="12" style="1658" customWidth="1"/>
    <col min="1290" max="1290" width="9.85546875" style="1658" customWidth="1"/>
    <col min="1291" max="1291" width="9.140625" style="1658" customWidth="1"/>
    <col min="1292" max="1292" width="8" style="1658" customWidth="1"/>
    <col min="1293" max="1536" width="9.140625" style="1658"/>
    <col min="1537" max="1537" width="20.85546875" style="1658" customWidth="1"/>
    <col min="1538" max="1538" width="16.42578125" style="1658" customWidth="1"/>
    <col min="1539" max="1539" width="13.140625" style="1658" customWidth="1"/>
    <col min="1540" max="1540" width="10.28515625" style="1658" customWidth="1"/>
    <col min="1541" max="1541" width="14.85546875" style="1658" customWidth="1"/>
    <col min="1542" max="1542" width="9" style="1658" customWidth="1"/>
    <col min="1543" max="1543" width="8.140625" style="1658" customWidth="1"/>
    <col min="1544" max="1544" width="8.7109375" style="1658" customWidth="1"/>
    <col min="1545" max="1545" width="12" style="1658" customWidth="1"/>
    <col min="1546" max="1546" width="9.85546875" style="1658" customWidth="1"/>
    <col min="1547" max="1547" width="9.140625" style="1658" customWidth="1"/>
    <col min="1548" max="1548" width="8" style="1658" customWidth="1"/>
    <col min="1549" max="1792" width="9.140625" style="1658"/>
    <col min="1793" max="1793" width="20.85546875" style="1658" customWidth="1"/>
    <col min="1794" max="1794" width="16.42578125" style="1658" customWidth="1"/>
    <col min="1795" max="1795" width="13.140625" style="1658" customWidth="1"/>
    <col min="1796" max="1796" width="10.28515625" style="1658" customWidth="1"/>
    <col min="1797" max="1797" width="14.85546875" style="1658" customWidth="1"/>
    <col min="1798" max="1798" width="9" style="1658" customWidth="1"/>
    <col min="1799" max="1799" width="8.140625" style="1658" customWidth="1"/>
    <col min="1800" max="1800" width="8.7109375" style="1658" customWidth="1"/>
    <col min="1801" max="1801" width="12" style="1658" customWidth="1"/>
    <col min="1802" max="1802" width="9.85546875" style="1658" customWidth="1"/>
    <col min="1803" max="1803" width="9.140625" style="1658" customWidth="1"/>
    <col min="1804" max="1804" width="8" style="1658" customWidth="1"/>
    <col min="1805" max="2048" width="9.140625" style="1658"/>
    <col min="2049" max="2049" width="20.85546875" style="1658" customWidth="1"/>
    <col min="2050" max="2050" width="16.42578125" style="1658" customWidth="1"/>
    <col min="2051" max="2051" width="13.140625" style="1658" customWidth="1"/>
    <col min="2052" max="2052" width="10.28515625" style="1658" customWidth="1"/>
    <col min="2053" max="2053" width="14.85546875" style="1658" customWidth="1"/>
    <col min="2054" max="2054" width="9" style="1658" customWidth="1"/>
    <col min="2055" max="2055" width="8.140625" style="1658" customWidth="1"/>
    <col min="2056" max="2056" width="8.7109375" style="1658" customWidth="1"/>
    <col min="2057" max="2057" width="12" style="1658" customWidth="1"/>
    <col min="2058" max="2058" width="9.85546875" style="1658" customWidth="1"/>
    <col min="2059" max="2059" width="9.140625" style="1658" customWidth="1"/>
    <col min="2060" max="2060" width="8" style="1658" customWidth="1"/>
    <col min="2061" max="2304" width="9.140625" style="1658"/>
    <col min="2305" max="2305" width="20.85546875" style="1658" customWidth="1"/>
    <col min="2306" max="2306" width="16.42578125" style="1658" customWidth="1"/>
    <col min="2307" max="2307" width="13.140625" style="1658" customWidth="1"/>
    <col min="2308" max="2308" width="10.28515625" style="1658" customWidth="1"/>
    <col min="2309" max="2309" width="14.85546875" style="1658" customWidth="1"/>
    <col min="2310" max="2310" width="9" style="1658" customWidth="1"/>
    <col min="2311" max="2311" width="8.140625" style="1658" customWidth="1"/>
    <col min="2312" max="2312" width="8.7109375" style="1658" customWidth="1"/>
    <col min="2313" max="2313" width="12" style="1658" customWidth="1"/>
    <col min="2314" max="2314" width="9.85546875" style="1658" customWidth="1"/>
    <col min="2315" max="2315" width="9.140625" style="1658" customWidth="1"/>
    <col min="2316" max="2316" width="8" style="1658" customWidth="1"/>
    <col min="2317" max="2560" width="9.140625" style="1658"/>
    <col min="2561" max="2561" width="20.85546875" style="1658" customWidth="1"/>
    <col min="2562" max="2562" width="16.42578125" style="1658" customWidth="1"/>
    <col min="2563" max="2563" width="13.140625" style="1658" customWidth="1"/>
    <col min="2564" max="2564" width="10.28515625" style="1658" customWidth="1"/>
    <col min="2565" max="2565" width="14.85546875" style="1658" customWidth="1"/>
    <col min="2566" max="2566" width="9" style="1658" customWidth="1"/>
    <col min="2567" max="2567" width="8.140625" style="1658" customWidth="1"/>
    <col min="2568" max="2568" width="8.7109375" style="1658" customWidth="1"/>
    <col min="2569" max="2569" width="12" style="1658" customWidth="1"/>
    <col min="2570" max="2570" width="9.85546875" style="1658" customWidth="1"/>
    <col min="2571" max="2571" width="9.140625" style="1658" customWidth="1"/>
    <col min="2572" max="2572" width="8" style="1658" customWidth="1"/>
    <col min="2573" max="2816" width="9.140625" style="1658"/>
    <col min="2817" max="2817" width="20.85546875" style="1658" customWidth="1"/>
    <col min="2818" max="2818" width="16.42578125" style="1658" customWidth="1"/>
    <col min="2819" max="2819" width="13.140625" style="1658" customWidth="1"/>
    <col min="2820" max="2820" width="10.28515625" style="1658" customWidth="1"/>
    <col min="2821" max="2821" width="14.85546875" style="1658" customWidth="1"/>
    <col min="2822" max="2822" width="9" style="1658" customWidth="1"/>
    <col min="2823" max="2823" width="8.140625" style="1658" customWidth="1"/>
    <col min="2824" max="2824" width="8.7109375" style="1658" customWidth="1"/>
    <col min="2825" max="2825" width="12" style="1658" customWidth="1"/>
    <col min="2826" max="2826" width="9.85546875" style="1658" customWidth="1"/>
    <col min="2827" max="2827" width="9.140625" style="1658" customWidth="1"/>
    <col min="2828" max="2828" width="8" style="1658" customWidth="1"/>
    <col min="2829" max="3072" width="9.140625" style="1658"/>
    <col min="3073" max="3073" width="20.85546875" style="1658" customWidth="1"/>
    <col min="3074" max="3074" width="16.42578125" style="1658" customWidth="1"/>
    <col min="3075" max="3075" width="13.140625" style="1658" customWidth="1"/>
    <col min="3076" max="3076" width="10.28515625" style="1658" customWidth="1"/>
    <col min="3077" max="3077" width="14.85546875" style="1658" customWidth="1"/>
    <col min="3078" max="3078" width="9" style="1658" customWidth="1"/>
    <col min="3079" max="3079" width="8.140625" style="1658" customWidth="1"/>
    <col min="3080" max="3080" width="8.7109375" style="1658" customWidth="1"/>
    <col min="3081" max="3081" width="12" style="1658" customWidth="1"/>
    <col min="3082" max="3082" width="9.85546875" style="1658" customWidth="1"/>
    <col min="3083" max="3083" width="9.140625" style="1658" customWidth="1"/>
    <col min="3084" max="3084" width="8" style="1658" customWidth="1"/>
    <col min="3085" max="3328" width="9.140625" style="1658"/>
    <col min="3329" max="3329" width="20.85546875" style="1658" customWidth="1"/>
    <col min="3330" max="3330" width="16.42578125" style="1658" customWidth="1"/>
    <col min="3331" max="3331" width="13.140625" style="1658" customWidth="1"/>
    <col min="3332" max="3332" width="10.28515625" style="1658" customWidth="1"/>
    <col min="3333" max="3333" width="14.85546875" style="1658" customWidth="1"/>
    <col min="3334" max="3334" width="9" style="1658" customWidth="1"/>
    <col min="3335" max="3335" width="8.140625" style="1658" customWidth="1"/>
    <col min="3336" max="3336" width="8.7109375" style="1658" customWidth="1"/>
    <col min="3337" max="3337" width="12" style="1658" customWidth="1"/>
    <col min="3338" max="3338" width="9.85546875" style="1658" customWidth="1"/>
    <col min="3339" max="3339" width="9.140625" style="1658" customWidth="1"/>
    <col min="3340" max="3340" width="8" style="1658" customWidth="1"/>
    <col min="3341" max="3584" width="9.140625" style="1658"/>
    <col min="3585" max="3585" width="20.85546875" style="1658" customWidth="1"/>
    <col min="3586" max="3586" width="16.42578125" style="1658" customWidth="1"/>
    <col min="3587" max="3587" width="13.140625" style="1658" customWidth="1"/>
    <col min="3588" max="3588" width="10.28515625" style="1658" customWidth="1"/>
    <col min="3589" max="3589" width="14.85546875" style="1658" customWidth="1"/>
    <col min="3590" max="3590" width="9" style="1658" customWidth="1"/>
    <col min="3591" max="3591" width="8.140625" style="1658" customWidth="1"/>
    <col min="3592" max="3592" width="8.7109375" style="1658" customWidth="1"/>
    <col min="3593" max="3593" width="12" style="1658" customWidth="1"/>
    <col min="3594" max="3594" width="9.85546875" style="1658" customWidth="1"/>
    <col min="3595" max="3595" width="9.140625" style="1658" customWidth="1"/>
    <col min="3596" max="3596" width="8" style="1658" customWidth="1"/>
    <col min="3597" max="3840" width="9.140625" style="1658"/>
    <col min="3841" max="3841" width="20.85546875" style="1658" customWidth="1"/>
    <col min="3842" max="3842" width="16.42578125" style="1658" customWidth="1"/>
    <col min="3843" max="3843" width="13.140625" style="1658" customWidth="1"/>
    <col min="3844" max="3844" width="10.28515625" style="1658" customWidth="1"/>
    <col min="3845" max="3845" width="14.85546875" style="1658" customWidth="1"/>
    <col min="3846" max="3846" width="9" style="1658" customWidth="1"/>
    <col min="3847" max="3847" width="8.140625" style="1658" customWidth="1"/>
    <col min="3848" max="3848" width="8.7109375" style="1658" customWidth="1"/>
    <col min="3849" max="3849" width="12" style="1658" customWidth="1"/>
    <col min="3850" max="3850" width="9.85546875" style="1658" customWidth="1"/>
    <col min="3851" max="3851" width="9.140625" style="1658" customWidth="1"/>
    <col min="3852" max="3852" width="8" style="1658" customWidth="1"/>
    <col min="3853" max="4096" width="9.140625" style="1658"/>
    <col min="4097" max="4097" width="20.85546875" style="1658" customWidth="1"/>
    <col min="4098" max="4098" width="16.42578125" style="1658" customWidth="1"/>
    <col min="4099" max="4099" width="13.140625" style="1658" customWidth="1"/>
    <col min="4100" max="4100" width="10.28515625" style="1658" customWidth="1"/>
    <col min="4101" max="4101" width="14.85546875" style="1658" customWidth="1"/>
    <col min="4102" max="4102" width="9" style="1658" customWidth="1"/>
    <col min="4103" max="4103" width="8.140625" style="1658" customWidth="1"/>
    <col min="4104" max="4104" width="8.7109375" style="1658" customWidth="1"/>
    <col min="4105" max="4105" width="12" style="1658" customWidth="1"/>
    <col min="4106" max="4106" width="9.85546875" style="1658" customWidth="1"/>
    <col min="4107" max="4107" width="9.140625" style="1658" customWidth="1"/>
    <col min="4108" max="4108" width="8" style="1658" customWidth="1"/>
    <col min="4109" max="4352" width="9.140625" style="1658"/>
    <col min="4353" max="4353" width="20.85546875" style="1658" customWidth="1"/>
    <col min="4354" max="4354" width="16.42578125" style="1658" customWidth="1"/>
    <col min="4355" max="4355" width="13.140625" style="1658" customWidth="1"/>
    <col min="4356" max="4356" width="10.28515625" style="1658" customWidth="1"/>
    <col min="4357" max="4357" width="14.85546875" style="1658" customWidth="1"/>
    <col min="4358" max="4358" width="9" style="1658" customWidth="1"/>
    <col min="4359" max="4359" width="8.140625" style="1658" customWidth="1"/>
    <col min="4360" max="4360" width="8.7109375" style="1658" customWidth="1"/>
    <col min="4361" max="4361" width="12" style="1658" customWidth="1"/>
    <col min="4362" max="4362" width="9.85546875" style="1658" customWidth="1"/>
    <col min="4363" max="4363" width="9.140625" style="1658" customWidth="1"/>
    <col min="4364" max="4364" width="8" style="1658" customWidth="1"/>
    <col min="4365" max="4608" width="9.140625" style="1658"/>
    <col min="4609" max="4609" width="20.85546875" style="1658" customWidth="1"/>
    <col min="4610" max="4610" width="16.42578125" style="1658" customWidth="1"/>
    <col min="4611" max="4611" width="13.140625" style="1658" customWidth="1"/>
    <col min="4612" max="4612" width="10.28515625" style="1658" customWidth="1"/>
    <col min="4613" max="4613" width="14.85546875" style="1658" customWidth="1"/>
    <col min="4614" max="4614" width="9" style="1658" customWidth="1"/>
    <col min="4615" max="4615" width="8.140625" style="1658" customWidth="1"/>
    <col min="4616" max="4616" width="8.7109375" style="1658" customWidth="1"/>
    <col min="4617" max="4617" width="12" style="1658" customWidth="1"/>
    <col min="4618" max="4618" width="9.85546875" style="1658" customWidth="1"/>
    <col min="4619" max="4619" width="9.140625" style="1658" customWidth="1"/>
    <col min="4620" max="4620" width="8" style="1658" customWidth="1"/>
    <col min="4621" max="4864" width="9.140625" style="1658"/>
    <col min="4865" max="4865" width="20.85546875" style="1658" customWidth="1"/>
    <col min="4866" max="4866" width="16.42578125" style="1658" customWidth="1"/>
    <col min="4867" max="4867" width="13.140625" style="1658" customWidth="1"/>
    <col min="4868" max="4868" width="10.28515625" style="1658" customWidth="1"/>
    <col min="4869" max="4869" width="14.85546875" style="1658" customWidth="1"/>
    <col min="4870" max="4870" width="9" style="1658" customWidth="1"/>
    <col min="4871" max="4871" width="8.140625" style="1658" customWidth="1"/>
    <col min="4872" max="4872" width="8.7109375" style="1658" customWidth="1"/>
    <col min="4873" max="4873" width="12" style="1658" customWidth="1"/>
    <col min="4874" max="4874" width="9.85546875" style="1658" customWidth="1"/>
    <col min="4875" max="4875" width="9.140625" style="1658" customWidth="1"/>
    <col min="4876" max="4876" width="8" style="1658" customWidth="1"/>
    <col min="4877" max="5120" width="9.140625" style="1658"/>
    <col min="5121" max="5121" width="20.85546875" style="1658" customWidth="1"/>
    <col min="5122" max="5122" width="16.42578125" style="1658" customWidth="1"/>
    <col min="5123" max="5123" width="13.140625" style="1658" customWidth="1"/>
    <col min="5124" max="5124" width="10.28515625" style="1658" customWidth="1"/>
    <col min="5125" max="5125" width="14.85546875" style="1658" customWidth="1"/>
    <col min="5126" max="5126" width="9" style="1658" customWidth="1"/>
    <col min="5127" max="5127" width="8.140625" style="1658" customWidth="1"/>
    <col min="5128" max="5128" width="8.7109375" style="1658" customWidth="1"/>
    <col min="5129" max="5129" width="12" style="1658" customWidth="1"/>
    <col min="5130" max="5130" width="9.85546875" style="1658" customWidth="1"/>
    <col min="5131" max="5131" width="9.140625" style="1658" customWidth="1"/>
    <col min="5132" max="5132" width="8" style="1658" customWidth="1"/>
    <col min="5133" max="5376" width="9.140625" style="1658"/>
    <col min="5377" max="5377" width="20.85546875" style="1658" customWidth="1"/>
    <col min="5378" max="5378" width="16.42578125" style="1658" customWidth="1"/>
    <col min="5379" max="5379" width="13.140625" style="1658" customWidth="1"/>
    <col min="5380" max="5380" width="10.28515625" style="1658" customWidth="1"/>
    <col min="5381" max="5381" width="14.85546875" style="1658" customWidth="1"/>
    <col min="5382" max="5382" width="9" style="1658" customWidth="1"/>
    <col min="5383" max="5383" width="8.140625" style="1658" customWidth="1"/>
    <col min="5384" max="5384" width="8.7109375" style="1658" customWidth="1"/>
    <col min="5385" max="5385" width="12" style="1658" customWidth="1"/>
    <col min="5386" max="5386" width="9.85546875" style="1658" customWidth="1"/>
    <col min="5387" max="5387" width="9.140625" style="1658" customWidth="1"/>
    <col min="5388" max="5388" width="8" style="1658" customWidth="1"/>
    <col min="5389" max="5632" width="9.140625" style="1658"/>
    <col min="5633" max="5633" width="20.85546875" style="1658" customWidth="1"/>
    <col min="5634" max="5634" width="16.42578125" style="1658" customWidth="1"/>
    <col min="5635" max="5635" width="13.140625" style="1658" customWidth="1"/>
    <col min="5636" max="5636" width="10.28515625" style="1658" customWidth="1"/>
    <col min="5637" max="5637" width="14.85546875" style="1658" customWidth="1"/>
    <col min="5638" max="5638" width="9" style="1658" customWidth="1"/>
    <col min="5639" max="5639" width="8.140625" style="1658" customWidth="1"/>
    <col min="5640" max="5640" width="8.7109375" style="1658" customWidth="1"/>
    <col min="5641" max="5641" width="12" style="1658" customWidth="1"/>
    <col min="5642" max="5642" width="9.85546875" style="1658" customWidth="1"/>
    <col min="5643" max="5643" width="9.140625" style="1658" customWidth="1"/>
    <col min="5644" max="5644" width="8" style="1658" customWidth="1"/>
    <col min="5645" max="5888" width="9.140625" style="1658"/>
    <col min="5889" max="5889" width="20.85546875" style="1658" customWidth="1"/>
    <col min="5890" max="5890" width="16.42578125" style="1658" customWidth="1"/>
    <col min="5891" max="5891" width="13.140625" style="1658" customWidth="1"/>
    <col min="5892" max="5892" width="10.28515625" style="1658" customWidth="1"/>
    <col min="5893" max="5893" width="14.85546875" style="1658" customWidth="1"/>
    <col min="5894" max="5894" width="9" style="1658" customWidth="1"/>
    <col min="5895" max="5895" width="8.140625" style="1658" customWidth="1"/>
    <col min="5896" max="5896" width="8.7109375" style="1658" customWidth="1"/>
    <col min="5897" max="5897" width="12" style="1658" customWidth="1"/>
    <col min="5898" max="5898" width="9.85546875" style="1658" customWidth="1"/>
    <col min="5899" max="5899" width="9.140625" style="1658" customWidth="1"/>
    <col min="5900" max="5900" width="8" style="1658" customWidth="1"/>
    <col min="5901" max="6144" width="9.140625" style="1658"/>
    <col min="6145" max="6145" width="20.85546875" style="1658" customWidth="1"/>
    <col min="6146" max="6146" width="16.42578125" style="1658" customWidth="1"/>
    <col min="6147" max="6147" width="13.140625" style="1658" customWidth="1"/>
    <col min="6148" max="6148" width="10.28515625" style="1658" customWidth="1"/>
    <col min="6149" max="6149" width="14.85546875" style="1658" customWidth="1"/>
    <col min="6150" max="6150" width="9" style="1658" customWidth="1"/>
    <col min="6151" max="6151" width="8.140625" style="1658" customWidth="1"/>
    <col min="6152" max="6152" width="8.7109375" style="1658" customWidth="1"/>
    <col min="6153" max="6153" width="12" style="1658" customWidth="1"/>
    <col min="6154" max="6154" width="9.85546875" style="1658" customWidth="1"/>
    <col min="6155" max="6155" width="9.140625" style="1658" customWidth="1"/>
    <col min="6156" max="6156" width="8" style="1658" customWidth="1"/>
    <col min="6157" max="6400" width="9.140625" style="1658"/>
    <col min="6401" max="6401" width="20.85546875" style="1658" customWidth="1"/>
    <col min="6402" max="6402" width="16.42578125" style="1658" customWidth="1"/>
    <col min="6403" max="6403" width="13.140625" style="1658" customWidth="1"/>
    <col min="6404" max="6404" width="10.28515625" style="1658" customWidth="1"/>
    <col min="6405" max="6405" width="14.85546875" style="1658" customWidth="1"/>
    <col min="6406" max="6406" width="9" style="1658" customWidth="1"/>
    <col min="6407" max="6407" width="8.140625" style="1658" customWidth="1"/>
    <col min="6408" max="6408" width="8.7109375" style="1658" customWidth="1"/>
    <col min="6409" max="6409" width="12" style="1658" customWidth="1"/>
    <col min="6410" max="6410" width="9.85546875" style="1658" customWidth="1"/>
    <col min="6411" max="6411" width="9.140625" style="1658" customWidth="1"/>
    <col min="6412" max="6412" width="8" style="1658" customWidth="1"/>
    <col min="6413" max="6656" width="9.140625" style="1658"/>
    <col min="6657" max="6657" width="20.85546875" style="1658" customWidth="1"/>
    <col min="6658" max="6658" width="16.42578125" style="1658" customWidth="1"/>
    <col min="6659" max="6659" width="13.140625" style="1658" customWidth="1"/>
    <col min="6660" max="6660" width="10.28515625" style="1658" customWidth="1"/>
    <col min="6661" max="6661" width="14.85546875" style="1658" customWidth="1"/>
    <col min="6662" max="6662" width="9" style="1658" customWidth="1"/>
    <col min="6663" max="6663" width="8.140625" style="1658" customWidth="1"/>
    <col min="6664" max="6664" width="8.7109375" style="1658" customWidth="1"/>
    <col min="6665" max="6665" width="12" style="1658" customWidth="1"/>
    <col min="6666" max="6666" width="9.85546875" style="1658" customWidth="1"/>
    <col min="6667" max="6667" width="9.140625" style="1658" customWidth="1"/>
    <col min="6668" max="6668" width="8" style="1658" customWidth="1"/>
    <col min="6669" max="6912" width="9.140625" style="1658"/>
    <col min="6913" max="6913" width="20.85546875" style="1658" customWidth="1"/>
    <col min="6914" max="6914" width="16.42578125" style="1658" customWidth="1"/>
    <col min="6915" max="6915" width="13.140625" style="1658" customWidth="1"/>
    <col min="6916" max="6916" width="10.28515625" style="1658" customWidth="1"/>
    <col min="6917" max="6917" width="14.85546875" style="1658" customWidth="1"/>
    <col min="6918" max="6918" width="9" style="1658" customWidth="1"/>
    <col min="6919" max="6919" width="8.140625" style="1658" customWidth="1"/>
    <col min="6920" max="6920" width="8.7109375" style="1658" customWidth="1"/>
    <col min="6921" max="6921" width="12" style="1658" customWidth="1"/>
    <col min="6922" max="6922" width="9.85546875" style="1658" customWidth="1"/>
    <col min="6923" max="6923" width="9.140625" style="1658" customWidth="1"/>
    <col min="6924" max="6924" width="8" style="1658" customWidth="1"/>
    <col min="6925" max="7168" width="9.140625" style="1658"/>
    <col min="7169" max="7169" width="20.85546875" style="1658" customWidth="1"/>
    <col min="7170" max="7170" width="16.42578125" style="1658" customWidth="1"/>
    <col min="7171" max="7171" width="13.140625" style="1658" customWidth="1"/>
    <col min="7172" max="7172" width="10.28515625" style="1658" customWidth="1"/>
    <col min="7173" max="7173" width="14.85546875" style="1658" customWidth="1"/>
    <col min="7174" max="7174" width="9" style="1658" customWidth="1"/>
    <col min="7175" max="7175" width="8.140625" style="1658" customWidth="1"/>
    <col min="7176" max="7176" width="8.7109375" style="1658" customWidth="1"/>
    <col min="7177" max="7177" width="12" style="1658" customWidth="1"/>
    <col min="7178" max="7178" width="9.85546875" style="1658" customWidth="1"/>
    <col min="7179" max="7179" width="9.140625" style="1658" customWidth="1"/>
    <col min="7180" max="7180" width="8" style="1658" customWidth="1"/>
    <col min="7181" max="7424" width="9.140625" style="1658"/>
    <col min="7425" max="7425" width="20.85546875" style="1658" customWidth="1"/>
    <col min="7426" max="7426" width="16.42578125" style="1658" customWidth="1"/>
    <col min="7427" max="7427" width="13.140625" style="1658" customWidth="1"/>
    <col min="7428" max="7428" width="10.28515625" style="1658" customWidth="1"/>
    <col min="7429" max="7429" width="14.85546875" style="1658" customWidth="1"/>
    <col min="7430" max="7430" width="9" style="1658" customWidth="1"/>
    <col min="7431" max="7431" width="8.140625" style="1658" customWidth="1"/>
    <col min="7432" max="7432" width="8.7109375" style="1658" customWidth="1"/>
    <col min="7433" max="7433" width="12" style="1658" customWidth="1"/>
    <col min="7434" max="7434" width="9.85546875" style="1658" customWidth="1"/>
    <col min="7435" max="7435" width="9.140625" style="1658" customWidth="1"/>
    <col min="7436" max="7436" width="8" style="1658" customWidth="1"/>
    <col min="7437" max="7680" width="9.140625" style="1658"/>
    <col min="7681" max="7681" width="20.85546875" style="1658" customWidth="1"/>
    <col min="7682" max="7682" width="16.42578125" style="1658" customWidth="1"/>
    <col min="7683" max="7683" width="13.140625" style="1658" customWidth="1"/>
    <col min="7684" max="7684" width="10.28515625" style="1658" customWidth="1"/>
    <col min="7685" max="7685" width="14.85546875" style="1658" customWidth="1"/>
    <col min="7686" max="7686" width="9" style="1658" customWidth="1"/>
    <col min="7687" max="7687" width="8.140625" style="1658" customWidth="1"/>
    <col min="7688" max="7688" width="8.7109375" style="1658" customWidth="1"/>
    <col min="7689" max="7689" width="12" style="1658" customWidth="1"/>
    <col min="7690" max="7690" width="9.85546875" style="1658" customWidth="1"/>
    <col min="7691" max="7691" width="9.140625" style="1658" customWidth="1"/>
    <col min="7692" max="7692" width="8" style="1658" customWidth="1"/>
    <col min="7693" max="7936" width="9.140625" style="1658"/>
    <col min="7937" max="7937" width="20.85546875" style="1658" customWidth="1"/>
    <col min="7938" max="7938" width="16.42578125" style="1658" customWidth="1"/>
    <col min="7939" max="7939" width="13.140625" style="1658" customWidth="1"/>
    <col min="7940" max="7940" width="10.28515625" style="1658" customWidth="1"/>
    <col min="7941" max="7941" width="14.85546875" style="1658" customWidth="1"/>
    <col min="7942" max="7942" width="9" style="1658" customWidth="1"/>
    <col min="7943" max="7943" width="8.140625" style="1658" customWidth="1"/>
    <col min="7944" max="7944" width="8.7109375" style="1658" customWidth="1"/>
    <col min="7945" max="7945" width="12" style="1658" customWidth="1"/>
    <col min="7946" max="7946" width="9.85546875" style="1658" customWidth="1"/>
    <col min="7947" max="7947" width="9.140625" style="1658" customWidth="1"/>
    <col min="7948" max="7948" width="8" style="1658" customWidth="1"/>
    <col min="7949" max="8192" width="9.140625" style="1658"/>
    <col min="8193" max="8193" width="20.85546875" style="1658" customWidth="1"/>
    <col min="8194" max="8194" width="16.42578125" style="1658" customWidth="1"/>
    <col min="8195" max="8195" width="13.140625" style="1658" customWidth="1"/>
    <col min="8196" max="8196" width="10.28515625" style="1658" customWidth="1"/>
    <col min="8197" max="8197" width="14.85546875" style="1658" customWidth="1"/>
    <col min="8198" max="8198" width="9" style="1658" customWidth="1"/>
    <col min="8199" max="8199" width="8.140625" style="1658" customWidth="1"/>
    <col min="8200" max="8200" width="8.7109375" style="1658" customWidth="1"/>
    <col min="8201" max="8201" width="12" style="1658" customWidth="1"/>
    <col min="8202" max="8202" width="9.85546875" style="1658" customWidth="1"/>
    <col min="8203" max="8203" width="9.140625" style="1658" customWidth="1"/>
    <col min="8204" max="8204" width="8" style="1658" customWidth="1"/>
    <col min="8205" max="8448" width="9.140625" style="1658"/>
    <col min="8449" max="8449" width="20.85546875" style="1658" customWidth="1"/>
    <col min="8450" max="8450" width="16.42578125" style="1658" customWidth="1"/>
    <col min="8451" max="8451" width="13.140625" style="1658" customWidth="1"/>
    <col min="8452" max="8452" width="10.28515625" style="1658" customWidth="1"/>
    <col min="8453" max="8453" width="14.85546875" style="1658" customWidth="1"/>
    <col min="8454" max="8454" width="9" style="1658" customWidth="1"/>
    <col min="8455" max="8455" width="8.140625" style="1658" customWidth="1"/>
    <col min="8456" max="8456" width="8.7109375" style="1658" customWidth="1"/>
    <col min="8457" max="8457" width="12" style="1658" customWidth="1"/>
    <col min="8458" max="8458" width="9.85546875" style="1658" customWidth="1"/>
    <col min="8459" max="8459" width="9.140625" style="1658" customWidth="1"/>
    <col min="8460" max="8460" width="8" style="1658" customWidth="1"/>
    <col min="8461" max="8704" width="9.140625" style="1658"/>
    <col min="8705" max="8705" width="20.85546875" style="1658" customWidth="1"/>
    <col min="8706" max="8706" width="16.42578125" style="1658" customWidth="1"/>
    <col min="8707" max="8707" width="13.140625" style="1658" customWidth="1"/>
    <col min="8708" max="8708" width="10.28515625" style="1658" customWidth="1"/>
    <col min="8709" max="8709" width="14.85546875" style="1658" customWidth="1"/>
    <col min="8710" max="8710" width="9" style="1658" customWidth="1"/>
    <col min="8711" max="8711" width="8.140625" style="1658" customWidth="1"/>
    <col min="8712" max="8712" width="8.7109375" style="1658" customWidth="1"/>
    <col min="8713" max="8713" width="12" style="1658" customWidth="1"/>
    <col min="8714" max="8714" width="9.85546875" style="1658" customWidth="1"/>
    <col min="8715" max="8715" width="9.140625" style="1658" customWidth="1"/>
    <col min="8716" max="8716" width="8" style="1658" customWidth="1"/>
    <col min="8717" max="8960" width="9.140625" style="1658"/>
    <col min="8961" max="8961" width="20.85546875" style="1658" customWidth="1"/>
    <col min="8962" max="8962" width="16.42578125" style="1658" customWidth="1"/>
    <col min="8963" max="8963" width="13.140625" style="1658" customWidth="1"/>
    <col min="8964" max="8964" width="10.28515625" style="1658" customWidth="1"/>
    <col min="8965" max="8965" width="14.85546875" style="1658" customWidth="1"/>
    <col min="8966" max="8966" width="9" style="1658" customWidth="1"/>
    <col min="8967" max="8967" width="8.140625" style="1658" customWidth="1"/>
    <col min="8968" max="8968" width="8.7109375" style="1658" customWidth="1"/>
    <col min="8969" max="8969" width="12" style="1658" customWidth="1"/>
    <col min="8970" max="8970" width="9.85546875" style="1658" customWidth="1"/>
    <col min="8971" max="8971" width="9.140625" style="1658" customWidth="1"/>
    <col min="8972" max="8972" width="8" style="1658" customWidth="1"/>
    <col min="8973" max="9216" width="9.140625" style="1658"/>
    <col min="9217" max="9217" width="20.85546875" style="1658" customWidth="1"/>
    <col min="9218" max="9218" width="16.42578125" style="1658" customWidth="1"/>
    <col min="9219" max="9219" width="13.140625" style="1658" customWidth="1"/>
    <col min="9220" max="9220" width="10.28515625" style="1658" customWidth="1"/>
    <col min="9221" max="9221" width="14.85546875" style="1658" customWidth="1"/>
    <col min="9222" max="9222" width="9" style="1658" customWidth="1"/>
    <col min="9223" max="9223" width="8.140625" style="1658" customWidth="1"/>
    <col min="9224" max="9224" width="8.7109375" style="1658" customWidth="1"/>
    <col min="9225" max="9225" width="12" style="1658" customWidth="1"/>
    <col min="9226" max="9226" width="9.85546875" style="1658" customWidth="1"/>
    <col min="9227" max="9227" width="9.140625" style="1658" customWidth="1"/>
    <col min="9228" max="9228" width="8" style="1658" customWidth="1"/>
    <col min="9229" max="9472" width="9.140625" style="1658"/>
    <col min="9473" max="9473" width="20.85546875" style="1658" customWidth="1"/>
    <col min="9474" max="9474" width="16.42578125" style="1658" customWidth="1"/>
    <col min="9475" max="9475" width="13.140625" style="1658" customWidth="1"/>
    <col min="9476" max="9476" width="10.28515625" style="1658" customWidth="1"/>
    <col min="9477" max="9477" width="14.85546875" style="1658" customWidth="1"/>
    <col min="9478" max="9478" width="9" style="1658" customWidth="1"/>
    <col min="9479" max="9479" width="8.140625" style="1658" customWidth="1"/>
    <col min="9480" max="9480" width="8.7109375" style="1658" customWidth="1"/>
    <col min="9481" max="9481" width="12" style="1658" customWidth="1"/>
    <col min="9482" max="9482" width="9.85546875" style="1658" customWidth="1"/>
    <col min="9483" max="9483" width="9.140625" style="1658" customWidth="1"/>
    <col min="9484" max="9484" width="8" style="1658" customWidth="1"/>
    <col min="9485" max="9728" width="9.140625" style="1658"/>
    <col min="9729" max="9729" width="20.85546875" style="1658" customWidth="1"/>
    <col min="9730" max="9730" width="16.42578125" style="1658" customWidth="1"/>
    <col min="9731" max="9731" width="13.140625" style="1658" customWidth="1"/>
    <col min="9732" max="9732" width="10.28515625" style="1658" customWidth="1"/>
    <col min="9733" max="9733" width="14.85546875" style="1658" customWidth="1"/>
    <col min="9734" max="9734" width="9" style="1658" customWidth="1"/>
    <col min="9735" max="9735" width="8.140625" style="1658" customWidth="1"/>
    <col min="9736" max="9736" width="8.7109375" style="1658" customWidth="1"/>
    <col min="9737" max="9737" width="12" style="1658" customWidth="1"/>
    <col min="9738" max="9738" width="9.85546875" style="1658" customWidth="1"/>
    <col min="9739" max="9739" width="9.140625" style="1658" customWidth="1"/>
    <col min="9740" max="9740" width="8" style="1658" customWidth="1"/>
    <col min="9741" max="9984" width="9.140625" style="1658"/>
    <col min="9985" max="9985" width="20.85546875" style="1658" customWidth="1"/>
    <col min="9986" max="9986" width="16.42578125" style="1658" customWidth="1"/>
    <col min="9987" max="9987" width="13.140625" style="1658" customWidth="1"/>
    <col min="9988" max="9988" width="10.28515625" style="1658" customWidth="1"/>
    <col min="9989" max="9989" width="14.85546875" style="1658" customWidth="1"/>
    <col min="9990" max="9990" width="9" style="1658" customWidth="1"/>
    <col min="9991" max="9991" width="8.140625" style="1658" customWidth="1"/>
    <col min="9992" max="9992" width="8.7109375" style="1658" customWidth="1"/>
    <col min="9993" max="9993" width="12" style="1658" customWidth="1"/>
    <col min="9994" max="9994" width="9.85546875" style="1658" customWidth="1"/>
    <col min="9995" max="9995" width="9.140625" style="1658" customWidth="1"/>
    <col min="9996" max="9996" width="8" style="1658" customWidth="1"/>
    <col min="9997" max="10240" width="9.140625" style="1658"/>
    <col min="10241" max="10241" width="20.85546875" style="1658" customWidth="1"/>
    <col min="10242" max="10242" width="16.42578125" style="1658" customWidth="1"/>
    <col min="10243" max="10243" width="13.140625" style="1658" customWidth="1"/>
    <col min="10244" max="10244" width="10.28515625" style="1658" customWidth="1"/>
    <col min="10245" max="10245" width="14.85546875" style="1658" customWidth="1"/>
    <col min="10246" max="10246" width="9" style="1658" customWidth="1"/>
    <col min="10247" max="10247" width="8.140625" style="1658" customWidth="1"/>
    <col min="10248" max="10248" width="8.7109375" style="1658" customWidth="1"/>
    <col min="10249" max="10249" width="12" style="1658" customWidth="1"/>
    <col min="10250" max="10250" width="9.85546875" style="1658" customWidth="1"/>
    <col min="10251" max="10251" width="9.140625" style="1658" customWidth="1"/>
    <col min="10252" max="10252" width="8" style="1658" customWidth="1"/>
    <col min="10253" max="10496" width="9.140625" style="1658"/>
    <col min="10497" max="10497" width="20.85546875" style="1658" customWidth="1"/>
    <col min="10498" max="10498" width="16.42578125" style="1658" customWidth="1"/>
    <col min="10499" max="10499" width="13.140625" style="1658" customWidth="1"/>
    <col min="10500" max="10500" width="10.28515625" style="1658" customWidth="1"/>
    <col min="10501" max="10501" width="14.85546875" style="1658" customWidth="1"/>
    <col min="10502" max="10502" width="9" style="1658" customWidth="1"/>
    <col min="10503" max="10503" width="8.140625" style="1658" customWidth="1"/>
    <col min="10504" max="10504" width="8.7109375" style="1658" customWidth="1"/>
    <col min="10505" max="10505" width="12" style="1658" customWidth="1"/>
    <col min="10506" max="10506" width="9.85546875" style="1658" customWidth="1"/>
    <col min="10507" max="10507" width="9.140625" style="1658" customWidth="1"/>
    <col min="10508" max="10508" width="8" style="1658" customWidth="1"/>
    <col min="10509" max="10752" width="9.140625" style="1658"/>
    <col min="10753" max="10753" width="20.85546875" style="1658" customWidth="1"/>
    <col min="10754" max="10754" width="16.42578125" style="1658" customWidth="1"/>
    <col min="10755" max="10755" width="13.140625" style="1658" customWidth="1"/>
    <col min="10756" max="10756" width="10.28515625" style="1658" customWidth="1"/>
    <col min="10757" max="10757" width="14.85546875" style="1658" customWidth="1"/>
    <col min="10758" max="10758" width="9" style="1658" customWidth="1"/>
    <col min="10759" max="10759" width="8.140625" style="1658" customWidth="1"/>
    <col min="10760" max="10760" width="8.7109375" style="1658" customWidth="1"/>
    <col min="10761" max="10761" width="12" style="1658" customWidth="1"/>
    <col min="10762" max="10762" width="9.85546875" style="1658" customWidth="1"/>
    <col min="10763" max="10763" width="9.140625" style="1658" customWidth="1"/>
    <col min="10764" max="10764" width="8" style="1658" customWidth="1"/>
    <col min="10765" max="11008" width="9.140625" style="1658"/>
    <col min="11009" max="11009" width="20.85546875" style="1658" customWidth="1"/>
    <col min="11010" max="11010" width="16.42578125" style="1658" customWidth="1"/>
    <col min="11011" max="11011" width="13.140625" style="1658" customWidth="1"/>
    <col min="11012" max="11012" width="10.28515625" style="1658" customWidth="1"/>
    <col min="11013" max="11013" width="14.85546875" style="1658" customWidth="1"/>
    <col min="11014" max="11014" width="9" style="1658" customWidth="1"/>
    <col min="11015" max="11015" width="8.140625" style="1658" customWidth="1"/>
    <col min="11016" max="11016" width="8.7109375" style="1658" customWidth="1"/>
    <col min="11017" max="11017" width="12" style="1658" customWidth="1"/>
    <col min="11018" max="11018" width="9.85546875" style="1658" customWidth="1"/>
    <col min="11019" max="11019" width="9.140625" style="1658" customWidth="1"/>
    <col min="11020" max="11020" width="8" style="1658" customWidth="1"/>
    <col min="11021" max="11264" width="9.140625" style="1658"/>
    <col min="11265" max="11265" width="20.85546875" style="1658" customWidth="1"/>
    <col min="11266" max="11266" width="16.42578125" style="1658" customWidth="1"/>
    <col min="11267" max="11267" width="13.140625" style="1658" customWidth="1"/>
    <col min="11268" max="11268" width="10.28515625" style="1658" customWidth="1"/>
    <col min="11269" max="11269" width="14.85546875" style="1658" customWidth="1"/>
    <col min="11270" max="11270" width="9" style="1658" customWidth="1"/>
    <col min="11271" max="11271" width="8.140625" style="1658" customWidth="1"/>
    <col min="11272" max="11272" width="8.7109375" style="1658" customWidth="1"/>
    <col min="11273" max="11273" width="12" style="1658" customWidth="1"/>
    <col min="11274" max="11274" width="9.85546875" style="1658" customWidth="1"/>
    <col min="11275" max="11275" width="9.140625" style="1658" customWidth="1"/>
    <col min="11276" max="11276" width="8" style="1658" customWidth="1"/>
    <col min="11277" max="11520" width="9.140625" style="1658"/>
    <col min="11521" max="11521" width="20.85546875" style="1658" customWidth="1"/>
    <col min="11522" max="11522" width="16.42578125" style="1658" customWidth="1"/>
    <col min="11523" max="11523" width="13.140625" style="1658" customWidth="1"/>
    <col min="11524" max="11524" width="10.28515625" style="1658" customWidth="1"/>
    <col min="11525" max="11525" width="14.85546875" style="1658" customWidth="1"/>
    <col min="11526" max="11526" width="9" style="1658" customWidth="1"/>
    <col min="11527" max="11527" width="8.140625" style="1658" customWidth="1"/>
    <col min="11528" max="11528" width="8.7109375" style="1658" customWidth="1"/>
    <col min="11529" max="11529" width="12" style="1658" customWidth="1"/>
    <col min="11530" max="11530" width="9.85546875" style="1658" customWidth="1"/>
    <col min="11531" max="11531" width="9.140625" style="1658" customWidth="1"/>
    <col min="11532" max="11532" width="8" style="1658" customWidth="1"/>
    <col min="11533" max="11776" width="9.140625" style="1658"/>
    <col min="11777" max="11777" width="20.85546875" style="1658" customWidth="1"/>
    <col min="11778" max="11778" width="16.42578125" style="1658" customWidth="1"/>
    <col min="11779" max="11779" width="13.140625" style="1658" customWidth="1"/>
    <col min="11780" max="11780" width="10.28515625" style="1658" customWidth="1"/>
    <col min="11781" max="11781" width="14.85546875" style="1658" customWidth="1"/>
    <col min="11782" max="11782" width="9" style="1658" customWidth="1"/>
    <col min="11783" max="11783" width="8.140625" style="1658" customWidth="1"/>
    <col min="11784" max="11784" width="8.7109375" style="1658" customWidth="1"/>
    <col min="11785" max="11785" width="12" style="1658" customWidth="1"/>
    <col min="11786" max="11786" width="9.85546875" style="1658" customWidth="1"/>
    <col min="11787" max="11787" width="9.140625" style="1658" customWidth="1"/>
    <col min="11788" max="11788" width="8" style="1658" customWidth="1"/>
    <col min="11789" max="12032" width="9.140625" style="1658"/>
    <col min="12033" max="12033" width="20.85546875" style="1658" customWidth="1"/>
    <col min="12034" max="12034" width="16.42578125" style="1658" customWidth="1"/>
    <col min="12035" max="12035" width="13.140625" style="1658" customWidth="1"/>
    <col min="12036" max="12036" width="10.28515625" style="1658" customWidth="1"/>
    <col min="12037" max="12037" width="14.85546875" style="1658" customWidth="1"/>
    <col min="12038" max="12038" width="9" style="1658" customWidth="1"/>
    <col min="12039" max="12039" width="8.140625" style="1658" customWidth="1"/>
    <col min="12040" max="12040" width="8.7109375" style="1658" customWidth="1"/>
    <col min="12041" max="12041" width="12" style="1658" customWidth="1"/>
    <col min="12042" max="12042" width="9.85546875" style="1658" customWidth="1"/>
    <col min="12043" max="12043" width="9.140625" style="1658" customWidth="1"/>
    <col min="12044" max="12044" width="8" style="1658" customWidth="1"/>
    <col min="12045" max="12288" width="9.140625" style="1658"/>
    <col min="12289" max="12289" width="20.85546875" style="1658" customWidth="1"/>
    <col min="12290" max="12290" width="16.42578125" style="1658" customWidth="1"/>
    <col min="12291" max="12291" width="13.140625" style="1658" customWidth="1"/>
    <col min="12292" max="12292" width="10.28515625" style="1658" customWidth="1"/>
    <col min="12293" max="12293" width="14.85546875" style="1658" customWidth="1"/>
    <col min="12294" max="12294" width="9" style="1658" customWidth="1"/>
    <col min="12295" max="12295" width="8.140625" style="1658" customWidth="1"/>
    <col min="12296" max="12296" width="8.7109375" style="1658" customWidth="1"/>
    <col min="12297" max="12297" width="12" style="1658" customWidth="1"/>
    <col min="12298" max="12298" width="9.85546875" style="1658" customWidth="1"/>
    <col min="12299" max="12299" width="9.140625" style="1658" customWidth="1"/>
    <col min="12300" max="12300" width="8" style="1658" customWidth="1"/>
    <col min="12301" max="12544" width="9.140625" style="1658"/>
    <col min="12545" max="12545" width="20.85546875" style="1658" customWidth="1"/>
    <col min="12546" max="12546" width="16.42578125" style="1658" customWidth="1"/>
    <col min="12547" max="12547" width="13.140625" style="1658" customWidth="1"/>
    <col min="12548" max="12548" width="10.28515625" style="1658" customWidth="1"/>
    <col min="12549" max="12549" width="14.85546875" style="1658" customWidth="1"/>
    <col min="12550" max="12550" width="9" style="1658" customWidth="1"/>
    <col min="12551" max="12551" width="8.140625" style="1658" customWidth="1"/>
    <col min="12552" max="12552" width="8.7109375" style="1658" customWidth="1"/>
    <col min="12553" max="12553" width="12" style="1658" customWidth="1"/>
    <col min="12554" max="12554" width="9.85546875" style="1658" customWidth="1"/>
    <col min="12555" max="12555" width="9.140625" style="1658" customWidth="1"/>
    <col min="12556" max="12556" width="8" style="1658" customWidth="1"/>
    <col min="12557" max="12800" width="9.140625" style="1658"/>
    <col min="12801" max="12801" width="20.85546875" style="1658" customWidth="1"/>
    <col min="12802" max="12802" width="16.42578125" style="1658" customWidth="1"/>
    <col min="12803" max="12803" width="13.140625" style="1658" customWidth="1"/>
    <col min="12804" max="12804" width="10.28515625" style="1658" customWidth="1"/>
    <col min="12805" max="12805" width="14.85546875" style="1658" customWidth="1"/>
    <col min="12806" max="12806" width="9" style="1658" customWidth="1"/>
    <col min="12807" max="12807" width="8.140625" style="1658" customWidth="1"/>
    <col min="12808" max="12808" width="8.7109375" style="1658" customWidth="1"/>
    <col min="12809" max="12809" width="12" style="1658" customWidth="1"/>
    <col min="12810" max="12810" width="9.85546875" style="1658" customWidth="1"/>
    <col min="12811" max="12811" width="9.140625" style="1658" customWidth="1"/>
    <col min="12812" max="12812" width="8" style="1658" customWidth="1"/>
    <col min="12813" max="13056" width="9.140625" style="1658"/>
    <col min="13057" max="13057" width="20.85546875" style="1658" customWidth="1"/>
    <col min="13058" max="13058" width="16.42578125" style="1658" customWidth="1"/>
    <col min="13059" max="13059" width="13.140625" style="1658" customWidth="1"/>
    <col min="13060" max="13060" width="10.28515625" style="1658" customWidth="1"/>
    <col min="13061" max="13061" width="14.85546875" style="1658" customWidth="1"/>
    <col min="13062" max="13062" width="9" style="1658" customWidth="1"/>
    <col min="13063" max="13063" width="8.140625" style="1658" customWidth="1"/>
    <col min="13064" max="13064" width="8.7109375" style="1658" customWidth="1"/>
    <col min="13065" max="13065" width="12" style="1658" customWidth="1"/>
    <col min="13066" max="13066" width="9.85546875" style="1658" customWidth="1"/>
    <col min="13067" max="13067" width="9.140625" style="1658" customWidth="1"/>
    <col min="13068" max="13068" width="8" style="1658" customWidth="1"/>
    <col min="13069" max="13312" width="9.140625" style="1658"/>
    <col min="13313" max="13313" width="20.85546875" style="1658" customWidth="1"/>
    <col min="13314" max="13314" width="16.42578125" style="1658" customWidth="1"/>
    <col min="13315" max="13315" width="13.140625" style="1658" customWidth="1"/>
    <col min="13316" max="13316" width="10.28515625" style="1658" customWidth="1"/>
    <col min="13317" max="13317" width="14.85546875" style="1658" customWidth="1"/>
    <col min="13318" max="13318" width="9" style="1658" customWidth="1"/>
    <col min="13319" max="13319" width="8.140625" style="1658" customWidth="1"/>
    <col min="13320" max="13320" width="8.7109375" style="1658" customWidth="1"/>
    <col min="13321" max="13321" width="12" style="1658" customWidth="1"/>
    <col min="13322" max="13322" width="9.85546875" style="1658" customWidth="1"/>
    <col min="13323" max="13323" width="9.140625" style="1658" customWidth="1"/>
    <col min="13324" max="13324" width="8" style="1658" customWidth="1"/>
    <col min="13325" max="13568" width="9.140625" style="1658"/>
    <col min="13569" max="13569" width="20.85546875" style="1658" customWidth="1"/>
    <col min="13570" max="13570" width="16.42578125" style="1658" customWidth="1"/>
    <col min="13571" max="13571" width="13.140625" style="1658" customWidth="1"/>
    <col min="13572" max="13572" width="10.28515625" style="1658" customWidth="1"/>
    <col min="13573" max="13573" width="14.85546875" style="1658" customWidth="1"/>
    <col min="13574" max="13574" width="9" style="1658" customWidth="1"/>
    <col min="13575" max="13575" width="8.140625" style="1658" customWidth="1"/>
    <col min="13576" max="13576" width="8.7109375" style="1658" customWidth="1"/>
    <col min="13577" max="13577" width="12" style="1658" customWidth="1"/>
    <col min="13578" max="13578" width="9.85546875" style="1658" customWidth="1"/>
    <col min="13579" max="13579" width="9.140625" style="1658" customWidth="1"/>
    <col min="13580" max="13580" width="8" style="1658" customWidth="1"/>
    <col min="13581" max="13824" width="9.140625" style="1658"/>
    <col min="13825" max="13825" width="20.85546875" style="1658" customWidth="1"/>
    <col min="13826" max="13826" width="16.42578125" style="1658" customWidth="1"/>
    <col min="13827" max="13827" width="13.140625" style="1658" customWidth="1"/>
    <col min="13828" max="13828" width="10.28515625" style="1658" customWidth="1"/>
    <col min="13829" max="13829" width="14.85546875" style="1658" customWidth="1"/>
    <col min="13830" max="13830" width="9" style="1658" customWidth="1"/>
    <col min="13831" max="13831" width="8.140625" style="1658" customWidth="1"/>
    <col min="13832" max="13832" width="8.7109375" style="1658" customWidth="1"/>
    <col min="13833" max="13833" width="12" style="1658" customWidth="1"/>
    <col min="13834" max="13834" width="9.85546875" style="1658" customWidth="1"/>
    <col min="13835" max="13835" width="9.140625" style="1658" customWidth="1"/>
    <col min="13836" max="13836" width="8" style="1658" customWidth="1"/>
    <col min="13837" max="14080" width="9.140625" style="1658"/>
    <col min="14081" max="14081" width="20.85546875" style="1658" customWidth="1"/>
    <col min="14082" max="14082" width="16.42578125" style="1658" customWidth="1"/>
    <col min="14083" max="14083" width="13.140625" style="1658" customWidth="1"/>
    <col min="14084" max="14084" width="10.28515625" style="1658" customWidth="1"/>
    <col min="14085" max="14085" width="14.85546875" style="1658" customWidth="1"/>
    <col min="14086" max="14086" width="9" style="1658" customWidth="1"/>
    <col min="14087" max="14087" width="8.140625" style="1658" customWidth="1"/>
    <col min="14088" max="14088" width="8.7109375" style="1658" customWidth="1"/>
    <col min="14089" max="14089" width="12" style="1658" customWidth="1"/>
    <col min="14090" max="14090" width="9.85546875" style="1658" customWidth="1"/>
    <col min="14091" max="14091" width="9.140625" style="1658" customWidth="1"/>
    <col min="14092" max="14092" width="8" style="1658" customWidth="1"/>
    <col min="14093" max="14336" width="9.140625" style="1658"/>
    <col min="14337" max="14337" width="20.85546875" style="1658" customWidth="1"/>
    <col min="14338" max="14338" width="16.42578125" style="1658" customWidth="1"/>
    <col min="14339" max="14339" width="13.140625" style="1658" customWidth="1"/>
    <col min="14340" max="14340" width="10.28515625" style="1658" customWidth="1"/>
    <col min="14341" max="14341" width="14.85546875" style="1658" customWidth="1"/>
    <col min="14342" max="14342" width="9" style="1658" customWidth="1"/>
    <col min="14343" max="14343" width="8.140625" style="1658" customWidth="1"/>
    <col min="14344" max="14344" width="8.7109375" style="1658" customWidth="1"/>
    <col min="14345" max="14345" width="12" style="1658" customWidth="1"/>
    <col min="14346" max="14346" width="9.85546875" style="1658" customWidth="1"/>
    <col min="14347" max="14347" width="9.140625" style="1658" customWidth="1"/>
    <col min="14348" max="14348" width="8" style="1658" customWidth="1"/>
    <col min="14349" max="14592" width="9.140625" style="1658"/>
    <col min="14593" max="14593" width="20.85546875" style="1658" customWidth="1"/>
    <col min="14594" max="14594" width="16.42578125" style="1658" customWidth="1"/>
    <col min="14595" max="14595" width="13.140625" style="1658" customWidth="1"/>
    <col min="14596" max="14596" width="10.28515625" style="1658" customWidth="1"/>
    <col min="14597" max="14597" width="14.85546875" style="1658" customWidth="1"/>
    <col min="14598" max="14598" width="9" style="1658" customWidth="1"/>
    <col min="14599" max="14599" width="8.140625" style="1658" customWidth="1"/>
    <col min="14600" max="14600" width="8.7109375" style="1658" customWidth="1"/>
    <col min="14601" max="14601" width="12" style="1658" customWidth="1"/>
    <col min="14602" max="14602" width="9.85546875" style="1658" customWidth="1"/>
    <col min="14603" max="14603" width="9.140625" style="1658" customWidth="1"/>
    <col min="14604" max="14604" width="8" style="1658" customWidth="1"/>
    <col min="14605" max="14848" width="9.140625" style="1658"/>
    <col min="14849" max="14849" width="20.85546875" style="1658" customWidth="1"/>
    <col min="14850" max="14850" width="16.42578125" style="1658" customWidth="1"/>
    <col min="14851" max="14851" width="13.140625" style="1658" customWidth="1"/>
    <col min="14852" max="14852" width="10.28515625" style="1658" customWidth="1"/>
    <col min="14853" max="14853" width="14.85546875" style="1658" customWidth="1"/>
    <col min="14854" max="14854" width="9" style="1658" customWidth="1"/>
    <col min="14855" max="14855" width="8.140625" style="1658" customWidth="1"/>
    <col min="14856" max="14856" width="8.7109375" style="1658" customWidth="1"/>
    <col min="14857" max="14857" width="12" style="1658" customWidth="1"/>
    <col min="14858" max="14858" width="9.85546875" style="1658" customWidth="1"/>
    <col min="14859" max="14859" width="9.140625" style="1658" customWidth="1"/>
    <col min="14860" max="14860" width="8" style="1658" customWidth="1"/>
    <col min="14861" max="15104" width="9.140625" style="1658"/>
    <col min="15105" max="15105" width="20.85546875" style="1658" customWidth="1"/>
    <col min="15106" max="15106" width="16.42578125" style="1658" customWidth="1"/>
    <col min="15107" max="15107" width="13.140625" style="1658" customWidth="1"/>
    <col min="15108" max="15108" width="10.28515625" style="1658" customWidth="1"/>
    <col min="15109" max="15109" width="14.85546875" style="1658" customWidth="1"/>
    <col min="15110" max="15110" width="9" style="1658" customWidth="1"/>
    <col min="15111" max="15111" width="8.140625" style="1658" customWidth="1"/>
    <col min="15112" max="15112" width="8.7109375" style="1658" customWidth="1"/>
    <col min="15113" max="15113" width="12" style="1658" customWidth="1"/>
    <col min="15114" max="15114" width="9.85546875" style="1658" customWidth="1"/>
    <col min="15115" max="15115" width="9.140625" style="1658" customWidth="1"/>
    <col min="15116" max="15116" width="8" style="1658" customWidth="1"/>
    <col min="15117" max="15360" width="9.140625" style="1658"/>
    <col min="15361" max="15361" width="20.85546875" style="1658" customWidth="1"/>
    <col min="15362" max="15362" width="16.42578125" style="1658" customWidth="1"/>
    <col min="15363" max="15363" width="13.140625" style="1658" customWidth="1"/>
    <col min="15364" max="15364" width="10.28515625" style="1658" customWidth="1"/>
    <col min="15365" max="15365" width="14.85546875" style="1658" customWidth="1"/>
    <col min="15366" max="15366" width="9" style="1658" customWidth="1"/>
    <col min="15367" max="15367" width="8.140625" style="1658" customWidth="1"/>
    <col min="15368" max="15368" width="8.7109375" style="1658" customWidth="1"/>
    <col min="15369" max="15369" width="12" style="1658" customWidth="1"/>
    <col min="15370" max="15370" width="9.85546875" style="1658" customWidth="1"/>
    <col min="15371" max="15371" width="9.140625" style="1658" customWidth="1"/>
    <col min="15372" max="15372" width="8" style="1658" customWidth="1"/>
    <col min="15373" max="15616" width="9.140625" style="1658"/>
    <col min="15617" max="15617" width="20.85546875" style="1658" customWidth="1"/>
    <col min="15618" max="15618" width="16.42578125" style="1658" customWidth="1"/>
    <col min="15619" max="15619" width="13.140625" style="1658" customWidth="1"/>
    <col min="15620" max="15620" width="10.28515625" style="1658" customWidth="1"/>
    <col min="15621" max="15621" width="14.85546875" style="1658" customWidth="1"/>
    <col min="15622" max="15622" width="9" style="1658" customWidth="1"/>
    <col min="15623" max="15623" width="8.140625" style="1658" customWidth="1"/>
    <col min="15624" max="15624" width="8.7109375" style="1658" customWidth="1"/>
    <col min="15625" max="15625" width="12" style="1658" customWidth="1"/>
    <col min="15626" max="15626" width="9.85546875" style="1658" customWidth="1"/>
    <col min="15627" max="15627" width="9.140625" style="1658" customWidth="1"/>
    <col min="15628" max="15628" width="8" style="1658" customWidth="1"/>
    <col min="15629" max="15872" width="9.140625" style="1658"/>
    <col min="15873" max="15873" width="20.85546875" style="1658" customWidth="1"/>
    <col min="15874" max="15874" width="16.42578125" style="1658" customWidth="1"/>
    <col min="15875" max="15875" width="13.140625" style="1658" customWidth="1"/>
    <col min="15876" max="15876" width="10.28515625" style="1658" customWidth="1"/>
    <col min="15877" max="15877" width="14.85546875" style="1658" customWidth="1"/>
    <col min="15878" max="15878" width="9" style="1658" customWidth="1"/>
    <col min="15879" max="15879" width="8.140625" style="1658" customWidth="1"/>
    <col min="15880" max="15880" width="8.7109375" style="1658" customWidth="1"/>
    <col min="15881" max="15881" width="12" style="1658" customWidth="1"/>
    <col min="15882" max="15882" width="9.85546875" style="1658" customWidth="1"/>
    <col min="15883" max="15883" width="9.140625" style="1658" customWidth="1"/>
    <col min="15884" max="15884" width="8" style="1658" customWidth="1"/>
    <col min="15885" max="16128" width="9.140625" style="1658"/>
    <col min="16129" max="16129" width="20.85546875" style="1658" customWidth="1"/>
    <col min="16130" max="16130" width="16.42578125" style="1658" customWidth="1"/>
    <col min="16131" max="16131" width="13.140625" style="1658" customWidth="1"/>
    <col min="16132" max="16132" width="10.28515625" style="1658" customWidth="1"/>
    <col min="16133" max="16133" width="14.85546875" style="1658" customWidth="1"/>
    <col min="16134" max="16134" width="9" style="1658" customWidth="1"/>
    <col min="16135" max="16135" width="8.140625" style="1658" customWidth="1"/>
    <col min="16136" max="16136" width="8.7109375" style="1658" customWidth="1"/>
    <col min="16137" max="16137" width="12" style="1658" customWidth="1"/>
    <col min="16138" max="16138" width="9.85546875" style="1658" customWidth="1"/>
    <col min="16139" max="16139" width="9.140625" style="1658" customWidth="1"/>
    <col min="16140" max="16140" width="8" style="1658" customWidth="1"/>
    <col min="16141" max="16384" width="9.140625" style="1658"/>
  </cols>
  <sheetData>
    <row r="1" spans="1:24" s="1654" customFormat="1" x14ac:dyDescent="0.2">
      <c r="A1" s="4626"/>
      <c r="B1" s="4626"/>
      <c r="C1" s="4626"/>
      <c r="D1" s="4626"/>
      <c r="E1" s="4626"/>
      <c r="F1" s="4626"/>
      <c r="G1" s="4626"/>
      <c r="H1" s="4626"/>
      <c r="I1" s="4626"/>
      <c r="J1" s="4626"/>
      <c r="K1" s="4626"/>
      <c r="L1" s="4626"/>
      <c r="R1" s="1656"/>
      <c r="S1" s="1657"/>
      <c r="V1" s="1655"/>
      <c r="W1" s="1655"/>
      <c r="X1" s="1655"/>
    </row>
    <row r="2" spans="1:24" s="1654" customFormat="1" ht="15.75" customHeight="1" x14ac:dyDescent="0.2">
      <c r="A2" s="4626"/>
      <c r="B2" s="4626"/>
      <c r="C2" s="4626"/>
      <c r="D2" s="4626"/>
      <c r="E2" s="4626"/>
      <c r="F2" s="4626"/>
      <c r="G2" s="4626"/>
      <c r="H2" s="4626"/>
      <c r="I2" s="4626"/>
      <c r="J2" s="4626"/>
      <c r="K2" s="4626"/>
      <c r="L2" s="4626"/>
      <c r="R2" s="1656"/>
      <c r="S2" s="1657"/>
      <c r="V2" s="1655"/>
      <c r="W2" s="1655"/>
      <c r="X2" s="1655"/>
    </row>
    <row r="3" spans="1:24" s="1654" customFormat="1" ht="15.75" customHeight="1" x14ac:dyDescent="0.2">
      <c r="A3" s="4626"/>
      <c r="B3" s="4626"/>
      <c r="C3" s="4626"/>
      <c r="D3" s="4626"/>
      <c r="E3" s="4626"/>
      <c r="F3" s="4626"/>
      <c r="G3" s="4626"/>
      <c r="H3" s="4626"/>
      <c r="I3" s="4626"/>
      <c r="J3" s="4626"/>
      <c r="K3" s="4626"/>
      <c r="L3" s="4626"/>
      <c r="R3" s="1656"/>
      <c r="S3" s="1657"/>
      <c r="V3" s="1655"/>
      <c r="W3" s="1655"/>
      <c r="X3" s="1655"/>
    </row>
    <row r="4" spans="1:24" s="1654" customFormat="1" ht="14.25" customHeight="1" x14ac:dyDescent="0.2">
      <c r="A4" s="4626"/>
      <c r="B4" s="4626"/>
      <c r="C4" s="4626"/>
      <c r="D4" s="4626"/>
      <c r="E4" s="4626"/>
      <c r="F4" s="4626"/>
      <c r="G4" s="4626"/>
      <c r="H4" s="4626"/>
      <c r="I4" s="4626"/>
      <c r="J4" s="4626"/>
      <c r="K4" s="4626"/>
      <c r="L4" s="4626"/>
      <c r="R4" s="1656"/>
      <c r="S4" s="1657"/>
      <c r="V4" s="1655"/>
      <c r="W4" s="1655"/>
      <c r="X4" s="1655"/>
    </row>
    <row r="5" spans="1:24" s="1654" customFormat="1" ht="11.25" customHeight="1" thickBot="1" x14ac:dyDescent="0.25">
      <c r="A5" s="4627"/>
      <c r="B5" s="4627"/>
      <c r="C5" s="4627"/>
      <c r="D5" s="4627"/>
      <c r="E5" s="4627"/>
      <c r="F5" s="4627"/>
      <c r="G5" s="4627"/>
      <c r="H5" s="4627"/>
      <c r="I5" s="4627"/>
      <c r="J5" s="4627"/>
      <c r="K5" s="4627"/>
      <c r="L5" s="4627"/>
      <c r="R5" s="1656"/>
      <c r="S5" s="1657"/>
      <c r="V5" s="1655"/>
      <c r="W5" s="1655"/>
      <c r="X5" s="1655"/>
    </row>
    <row r="6" spans="1:24" s="1654" customFormat="1" x14ac:dyDescent="0.2">
      <c r="C6" s="1659"/>
      <c r="H6" s="1655"/>
      <c r="I6" s="1655"/>
      <c r="J6" s="1655"/>
      <c r="K6" s="1655"/>
      <c r="L6" s="1655"/>
      <c r="R6" s="1656"/>
      <c r="S6" s="1657"/>
      <c r="V6" s="1655"/>
      <c r="W6" s="1655"/>
      <c r="X6" s="1655"/>
    </row>
    <row r="7" spans="1:24" s="1654" customFormat="1" ht="18" customHeight="1" x14ac:dyDescent="0.2">
      <c r="A7" s="4662" t="s">
        <v>2486</v>
      </c>
      <c r="B7" s="4662"/>
      <c r="C7" s="4662"/>
      <c r="D7" s="4662"/>
      <c r="E7" s="4662"/>
      <c r="F7" s="4662"/>
      <c r="G7" s="4662"/>
      <c r="H7" s="4662"/>
      <c r="I7" s="4662"/>
      <c r="J7" s="4662"/>
      <c r="K7" s="4662"/>
      <c r="L7" s="4662"/>
      <c r="R7" s="1656"/>
      <c r="S7" s="1657"/>
      <c r="V7" s="1655"/>
      <c r="W7" s="1655"/>
      <c r="X7" s="1655"/>
    </row>
    <row r="8" spans="1:24" s="1654" customFormat="1" x14ac:dyDescent="0.2">
      <c r="C8" s="1660"/>
      <c r="D8" s="1661"/>
      <c r="E8" s="1661"/>
      <c r="F8" s="1661"/>
      <c r="I8" s="1662"/>
      <c r="J8" s="1663" t="s">
        <v>1</v>
      </c>
      <c r="K8" s="4678">
        <v>42370</v>
      </c>
      <c r="L8" s="4678"/>
    </row>
    <row r="9" spans="1:24" s="1654" customFormat="1" ht="15.75" customHeight="1" x14ac:dyDescent="0.2">
      <c r="A9" s="4679" t="s">
        <v>702</v>
      </c>
      <c r="B9" s="4665" t="s">
        <v>399</v>
      </c>
      <c r="C9" s="4666"/>
      <c r="D9" s="4664" t="s">
        <v>802</v>
      </c>
      <c r="E9" s="4664"/>
      <c r="F9" s="4664"/>
      <c r="G9" s="4664"/>
      <c r="H9" s="4664"/>
      <c r="I9" s="4669" t="s">
        <v>103</v>
      </c>
      <c r="J9" s="4669" t="s">
        <v>2121</v>
      </c>
      <c r="K9" s="4670" t="s">
        <v>295</v>
      </c>
      <c r="L9" s="4670"/>
    </row>
    <row r="10" spans="1:24" s="1654" customFormat="1" ht="14.25" customHeight="1" x14ac:dyDescent="0.2">
      <c r="A10" s="4680"/>
      <c r="B10" s="4667"/>
      <c r="C10" s="4668"/>
      <c r="D10" s="4664"/>
      <c r="E10" s="4664"/>
      <c r="F10" s="4664"/>
      <c r="G10" s="4664"/>
      <c r="H10" s="4664"/>
      <c r="I10" s="4669"/>
      <c r="J10" s="4669"/>
      <c r="K10" s="1664" t="s">
        <v>2122</v>
      </c>
      <c r="L10" s="1664" t="s">
        <v>2123</v>
      </c>
    </row>
    <row r="11" spans="1:24" s="1654" customFormat="1" ht="44.25" customHeight="1" x14ac:dyDescent="0.2">
      <c r="A11" s="4671"/>
      <c r="B11" s="4673" t="s">
        <v>2124</v>
      </c>
      <c r="C11" s="4674"/>
      <c r="D11" s="4628" t="s">
        <v>2487</v>
      </c>
      <c r="E11" s="4628"/>
      <c r="F11" s="4628"/>
      <c r="G11" s="4628"/>
      <c r="H11" s="4628"/>
      <c r="I11" s="4675" t="s">
        <v>2125</v>
      </c>
      <c r="J11" s="4676" t="s">
        <v>2126</v>
      </c>
      <c r="K11" s="1665">
        <v>1070</v>
      </c>
      <c r="L11" s="1666">
        <v>732</v>
      </c>
    </row>
    <row r="12" spans="1:24" s="1654" customFormat="1" ht="46.5" customHeight="1" x14ac:dyDescent="0.2">
      <c r="A12" s="4672"/>
      <c r="B12" s="4659" t="s">
        <v>2127</v>
      </c>
      <c r="C12" s="4677"/>
      <c r="D12" s="4628" t="s">
        <v>2488</v>
      </c>
      <c r="E12" s="4628"/>
      <c r="F12" s="4628"/>
      <c r="G12" s="4628"/>
      <c r="H12" s="4628"/>
      <c r="I12" s="4675"/>
      <c r="J12" s="4676"/>
      <c r="K12" s="1665">
        <v>1320</v>
      </c>
      <c r="L12" s="1665">
        <v>903</v>
      </c>
    </row>
    <row r="13" spans="1:24" s="1654" customFormat="1" ht="28.5" customHeight="1" x14ac:dyDescent="0.2">
      <c r="A13" s="4681" t="s">
        <v>2489</v>
      </c>
      <c r="B13" s="4681"/>
      <c r="C13" s="4681"/>
      <c r="D13" s="4681"/>
      <c r="E13" s="4681"/>
      <c r="F13" s="4681"/>
      <c r="G13" s="4681"/>
      <c r="H13" s="4681"/>
      <c r="I13" s="4681"/>
      <c r="J13" s="4681"/>
      <c r="K13" s="4681"/>
      <c r="L13" s="4681"/>
    </row>
    <row r="14" spans="1:24" s="1654" customFormat="1" x14ac:dyDescent="0.2">
      <c r="A14" s="4642" t="s">
        <v>399</v>
      </c>
      <c r="B14" s="4642"/>
      <c r="C14" s="4642"/>
      <c r="D14" s="4642"/>
      <c r="E14" s="4642"/>
      <c r="F14" s="4642" t="s">
        <v>103</v>
      </c>
      <c r="G14" s="4642"/>
      <c r="H14" s="4642"/>
      <c r="I14" s="4642"/>
      <c r="J14" s="4642"/>
      <c r="K14" s="4643" t="s">
        <v>2490</v>
      </c>
      <c r="L14" s="4644"/>
      <c r="M14" s="1667"/>
    </row>
    <row r="15" spans="1:24" s="1654" customFormat="1" ht="24.75" customHeight="1" x14ac:dyDescent="0.2">
      <c r="A15" s="4637" t="s">
        <v>2491</v>
      </c>
      <c r="B15" s="4637"/>
      <c r="C15" s="4637"/>
      <c r="D15" s="4637"/>
      <c r="E15" s="4637"/>
      <c r="F15" s="4660" t="s">
        <v>2128</v>
      </c>
      <c r="G15" s="4660"/>
      <c r="H15" s="4660"/>
      <c r="I15" s="4660"/>
      <c r="J15" s="4660"/>
      <c r="K15" s="4661">
        <v>950</v>
      </c>
      <c r="L15" s="4661"/>
    </row>
    <row r="16" spans="1:24" s="1654" customFormat="1" ht="24.75" customHeight="1" x14ac:dyDescent="0.2">
      <c r="A16" s="4637" t="s">
        <v>2129</v>
      </c>
      <c r="B16" s="4637"/>
      <c r="C16" s="4637"/>
      <c r="D16" s="4637"/>
      <c r="E16" s="4637"/>
      <c r="F16" s="4660" t="s">
        <v>2130</v>
      </c>
      <c r="G16" s="4660"/>
      <c r="H16" s="4660"/>
      <c r="I16" s="4660"/>
      <c r="J16" s="4660"/>
      <c r="K16" s="4661">
        <v>1800</v>
      </c>
      <c r="L16" s="4661"/>
    </row>
    <row r="17" spans="1:12" s="1654" customFormat="1" ht="24.75" customHeight="1" x14ac:dyDescent="0.2">
      <c r="A17" s="4637" t="s">
        <v>2131</v>
      </c>
      <c r="B17" s="4637"/>
      <c r="C17" s="4637"/>
      <c r="D17" s="4637"/>
      <c r="E17" s="4637"/>
      <c r="F17" s="4660" t="s">
        <v>2130</v>
      </c>
      <c r="G17" s="4660"/>
      <c r="H17" s="4660"/>
      <c r="I17" s="4660"/>
      <c r="J17" s="4660"/>
      <c r="K17" s="4661">
        <v>1800</v>
      </c>
      <c r="L17" s="4661"/>
    </row>
    <row r="18" spans="1:12" s="1654" customFormat="1" ht="24.75" customHeight="1" x14ac:dyDescent="0.2">
      <c r="A18" s="4637" t="s">
        <v>2132</v>
      </c>
      <c r="B18" s="4637"/>
      <c r="C18" s="4637"/>
      <c r="D18" s="4637"/>
      <c r="E18" s="4637"/>
      <c r="F18" s="4660" t="s">
        <v>2130</v>
      </c>
      <c r="G18" s="4660"/>
      <c r="H18" s="4660"/>
      <c r="I18" s="4660"/>
      <c r="J18" s="4660"/>
      <c r="K18" s="4661">
        <v>1800</v>
      </c>
      <c r="L18" s="4661"/>
    </row>
    <row r="19" spans="1:12" s="1654" customFormat="1" ht="24.75" customHeight="1" x14ac:dyDescent="0.2">
      <c r="A19" s="4637" t="s">
        <v>2133</v>
      </c>
      <c r="B19" s="4637"/>
      <c r="C19" s="4637"/>
      <c r="D19" s="4637"/>
      <c r="E19" s="4637"/>
      <c r="F19" s="4660" t="s">
        <v>2130</v>
      </c>
      <c r="G19" s="4660"/>
      <c r="H19" s="4660"/>
      <c r="I19" s="4660"/>
      <c r="J19" s="4660"/>
      <c r="K19" s="4661">
        <v>1350</v>
      </c>
      <c r="L19" s="4661"/>
    </row>
    <row r="20" spans="1:12" s="1654" customFormat="1" ht="24.75" customHeight="1" x14ac:dyDescent="0.2">
      <c r="A20" s="4637" t="s">
        <v>2492</v>
      </c>
      <c r="B20" s="4637"/>
      <c r="C20" s="4637"/>
      <c r="D20" s="4637"/>
      <c r="E20" s="4637"/>
      <c r="F20" s="4660" t="s">
        <v>2134</v>
      </c>
      <c r="G20" s="4660"/>
      <c r="H20" s="4660"/>
      <c r="I20" s="4660"/>
      <c r="J20" s="4660"/>
      <c r="K20" s="4661">
        <v>1300</v>
      </c>
      <c r="L20" s="4661"/>
    </row>
    <row r="21" spans="1:12" s="1654" customFormat="1" ht="24.75" customHeight="1" x14ac:dyDescent="0.2">
      <c r="A21" s="4637" t="s">
        <v>2135</v>
      </c>
      <c r="B21" s="4637"/>
      <c r="C21" s="4637"/>
      <c r="D21" s="4637"/>
      <c r="E21" s="4637"/>
      <c r="F21" s="4660" t="s">
        <v>2493</v>
      </c>
      <c r="G21" s="4660"/>
      <c r="H21" s="4660"/>
      <c r="I21" s="4660"/>
      <c r="J21" s="4660"/>
      <c r="K21" s="4661">
        <v>700</v>
      </c>
      <c r="L21" s="4661"/>
    </row>
    <row r="22" spans="1:12" s="1654" customFormat="1" ht="24.75" customHeight="1" x14ac:dyDescent="0.2">
      <c r="A22" s="4637" t="s">
        <v>2135</v>
      </c>
      <c r="B22" s="4637"/>
      <c r="C22" s="4637"/>
      <c r="D22" s="4637"/>
      <c r="E22" s="4637"/>
      <c r="F22" s="4660" t="s">
        <v>2136</v>
      </c>
      <c r="G22" s="4660"/>
      <c r="H22" s="4660"/>
      <c r="I22" s="4660"/>
      <c r="J22" s="4660"/>
      <c r="K22" s="4661">
        <v>450</v>
      </c>
      <c r="L22" s="4661"/>
    </row>
    <row r="23" spans="1:12" s="1654" customFormat="1" ht="24.75" customHeight="1" x14ac:dyDescent="0.2">
      <c r="A23" s="4637" t="s">
        <v>2137</v>
      </c>
      <c r="B23" s="4637"/>
      <c r="C23" s="4637"/>
      <c r="D23" s="4637"/>
      <c r="E23" s="4637"/>
      <c r="F23" s="2771" t="s">
        <v>2138</v>
      </c>
      <c r="G23" s="4638"/>
      <c r="H23" s="4638"/>
      <c r="I23" s="4638"/>
      <c r="J23" s="2772"/>
      <c r="K23" s="4661">
        <v>1500</v>
      </c>
      <c r="L23" s="4661"/>
    </row>
    <row r="24" spans="1:12" s="1654" customFormat="1" ht="24.75" customHeight="1" x14ac:dyDescent="0.2">
      <c r="A24" s="4637" t="s">
        <v>2139</v>
      </c>
      <c r="B24" s="4637"/>
      <c r="C24" s="4637"/>
      <c r="D24" s="4637"/>
      <c r="E24" s="4637"/>
      <c r="F24" s="2752" t="s">
        <v>2140</v>
      </c>
      <c r="G24" s="2752"/>
      <c r="H24" s="2752"/>
      <c r="I24" s="2752"/>
      <c r="J24" s="2752"/>
      <c r="K24" s="4661">
        <v>1550</v>
      </c>
      <c r="L24" s="4661"/>
    </row>
    <row r="25" spans="1:12" s="1654" customFormat="1" ht="24.75" customHeight="1" x14ac:dyDescent="0.2">
      <c r="A25" s="4637" t="s">
        <v>2494</v>
      </c>
      <c r="B25" s="4637"/>
      <c r="C25" s="4637"/>
      <c r="D25" s="4637"/>
      <c r="E25" s="4637"/>
      <c r="F25" s="4660" t="s">
        <v>2141</v>
      </c>
      <c r="G25" s="4660"/>
      <c r="H25" s="4660"/>
      <c r="I25" s="4660"/>
      <c r="J25" s="4660"/>
      <c r="K25" s="4661">
        <v>3900</v>
      </c>
      <c r="L25" s="4661"/>
    </row>
    <row r="26" spans="1:12" s="1654" customFormat="1" ht="24.75" customHeight="1" x14ac:dyDescent="0.2">
      <c r="A26" s="4637" t="s">
        <v>2142</v>
      </c>
      <c r="B26" s="4637"/>
      <c r="C26" s="4637"/>
      <c r="D26" s="4637"/>
      <c r="E26" s="4637"/>
      <c r="F26" s="4660" t="s">
        <v>2143</v>
      </c>
      <c r="G26" s="4660"/>
      <c r="H26" s="4660"/>
      <c r="I26" s="4660"/>
      <c r="J26" s="4660"/>
      <c r="K26" s="4661">
        <v>1250</v>
      </c>
      <c r="L26" s="4661"/>
    </row>
    <row r="27" spans="1:12" s="1654" customFormat="1" ht="24.75" customHeight="1" x14ac:dyDescent="0.2">
      <c r="A27" s="4637" t="s">
        <v>2144</v>
      </c>
      <c r="B27" s="4637"/>
      <c r="C27" s="4637"/>
      <c r="D27" s="4637"/>
      <c r="E27" s="4637"/>
      <c r="F27" s="4660" t="s">
        <v>2145</v>
      </c>
      <c r="G27" s="4660"/>
      <c r="H27" s="4660"/>
      <c r="I27" s="4660"/>
      <c r="J27" s="4660"/>
      <c r="K27" s="4661">
        <v>6160</v>
      </c>
      <c r="L27" s="4661"/>
    </row>
    <row r="28" spans="1:12" s="1654" customFormat="1" ht="24.75" customHeight="1" x14ac:dyDescent="0.2">
      <c r="A28" s="4637" t="s">
        <v>2146</v>
      </c>
      <c r="B28" s="4637"/>
      <c r="C28" s="4637"/>
      <c r="D28" s="4637"/>
      <c r="E28" s="4637"/>
      <c r="F28" s="4660" t="s">
        <v>2147</v>
      </c>
      <c r="G28" s="4660"/>
      <c r="H28" s="4660"/>
      <c r="I28" s="4660"/>
      <c r="J28" s="4660"/>
      <c r="K28" s="4661">
        <v>1180</v>
      </c>
      <c r="L28" s="4661"/>
    </row>
    <row r="29" spans="1:12" s="1654" customFormat="1" ht="17.25" customHeight="1" x14ac:dyDescent="0.2">
      <c r="A29" s="4662" t="s">
        <v>2148</v>
      </c>
      <c r="B29" s="4663"/>
      <c r="C29" s="4663"/>
      <c r="D29" s="4663"/>
      <c r="E29" s="4663"/>
      <c r="F29" s="4663"/>
      <c r="G29" s="4663"/>
      <c r="H29" s="4663"/>
      <c r="I29" s="4663"/>
      <c r="J29" s="4663"/>
      <c r="K29" s="4663"/>
      <c r="L29" s="4663"/>
    </row>
    <row r="30" spans="1:12" s="1654" customFormat="1" ht="8.25" customHeight="1" x14ac:dyDescent="0.2">
      <c r="D30" s="1668"/>
      <c r="E30" s="1669"/>
      <c r="F30" s="1669"/>
      <c r="G30" s="1669"/>
      <c r="I30" s="1668"/>
      <c r="J30" s="1668"/>
      <c r="K30" s="1668"/>
      <c r="L30" s="1670"/>
    </row>
    <row r="31" spans="1:12" s="1654" customFormat="1" x14ac:dyDescent="0.2">
      <c r="A31" s="4664" t="s">
        <v>702</v>
      </c>
      <c r="B31" s="4665" t="s">
        <v>399</v>
      </c>
      <c r="C31" s="4666"/>
      <c r="D31" s="4664" t="s">
        <v>802</v>
      </c>
      <c r="E31" s="4664"/>
      <c r="F31" s="4664"/>
      <c r="G31" s="4664"/>
      <c r="H31" s="4664"/>
      <c r="I31" s="4669" t="s">
        <v>103</v>
      </c>
      <c r="J31" s="4669" t="s">
        <v>2121</v>
      </c>
      <c r="K31" s="4670" t="s">
        <v>295</v>
      </c>
      <c r="L31" s="4670"/>
    </row>
    <row r="32" spans="1:12" s="1654" customFormat="1" ht="14.25" customHeight="1" x14ac:dyDescent="0.2">
      <c r="A32" s="4664"/>
      <c r="B32" s="4667"/>
      <c r="C32" s="4668"/>
      <c r="D32" s="4664"/>
      <c r="E32" s="4664"/>
      <c r="F32" s="4664"/>
      <c r="G32" s="4664"/>
      <c r="H32" s="4664"/>
      <c r="I32" s="4669"/>
      <c r="J32" s="4669"/>
      <c r="K32" s="1664" t="s">
        <v>2122</v>
      </c>
      <c r="L32" s="1664" t="s">
        <v>2123</v>
      </c>
    </row>
    <row r="33" spans="1:13" s="1654" customFormat="1" ht="45" customHeight="1" x14ac:dyDescent="0.25">
      <c r="A33" s="4650"/>
      <c r="B33" s="4651" t="s">
        <v>2149</v>
      </c>
      <c r="C33" s="4652"/>
      <c r="D33" s="4653" t="s">
        <v>2495</v>
      </c>
      <c r="E33" s="4654"/>
      <c r="F33" s="4654"/>
      <c r="G33" s="4654"/>
      <c r="H33" s="4655"/>
      <c r="I33" s="4656" t="s">
        <v>2150</v>
      </c>
      <c r="J33" s="4658" t="s">
        <v>2151</v>
      </c>
      <c r="K33" s="1666">
        <v>1500</v>
      </c>
      <c r="L33" s="1666">
        <v>1026</v>
      </c>
    </row>
    <row r="34" spans="1:13" s="1654" customFormat="1" ht="42" customHeight="1" x14ac:dyDescent="0.2">
      <c r="A34" s="4650"/>
      <c r="B34" s="4659" t="s">
        <v>2152</v>
      </c>
      <c r="C34" s="4652"/>
      <c r="D34" s="4653" t="s">
        <v>2496</v>
      </c>
      <c r="E34" s="4654"/>
      <c r="F34" s="4654"/>
      <c r="G34" s="4654"/>
      <c r="H34" s="4655"/>
      <c r="I34" s="4657"/>
      <c r="J34" s="4657"/>
      <c r="K34" s="1666">
        <v>1800</v>
      </c>
      <c r="L34" s="1666">
        <v>1231</v>
      </c>
    </row>
    <row r="35" spans="1:13" s="1654" customFormat="1" ht="28.5" customHeight="1" x14ac:dyDescent="0.2">
      <c r="A35" s="4641" t="s">
        <v>2489</v>
      </c>
      <c r="B35" s="4641"/>
      <c r="C35" s="4641"/>
      <c r="D35" s="4641"/>
      <c r="E35" s="4641"/>
      <c r="F35" s="4641"/>
      <c r="G35" s="4641"/>
      <c r="H35" s="4641"/>
      <c r="I35" s="4641"/>
      <c r="J35" s="4641"/>
      <c r="K35" s="4641"/>
      <c r="L35" s="4641"/>
    </row>
    <row r="36" spans="1:13" s="1654" customFormat="1" x14ac:dyDescent="0.2">
      <c r="A36" s="4642" t="s">
        <v>399</v>
      </c>
      <c r="B36" s="4642"/>
      <c r="C36" s="4642"/>
      <c r="D36" s="4642"/>
      <c r="E36" s="4642"/>
      <c r="F36" s="4642" t="s">
        <v>103</v>
      </c>
      <c r="G36" s="4642"/>
      <c r="H36" s="4642"/>
      <c r="I36" s="4642"/>
      <c r="J36" s="4642"/>
      <c r="K36" s="4643" t="s">
        <v>2490</v>
      </c>
      <c r="L36" s="4644"/>
      <c r="M36" s="1667"/>
    </row>
    <row r="37" spans="1:13" s="1654" customFormat="1" ht="37.5" customHeight="1" x14ac:dyDescent="0.2">
      <c r="A37" s="4637" t="s">
        <v>2497</v>
      </c>
      <c r="B37" s="4637"/>
      <c r="C37" s="4637"/>
      <c r="D37" s="4637"/>
      <c r="E37" s="4637"/>
      <c r="F37" s="4645" t="s">
        <v>2130</v>
      </c>
      <c r="G37" s="4646"/>
      <c r="H37" s="4646"/>
      <c r="I37" s="4646"/>
      <c r="J37" s="4647"/>
      <c r="K37" s="4648">
        <v>1150</v>
      </c>
      <c r="L37" s="4649"/>
    </row>
    <row r="38" spans="1:13" s="1654" customFormat="1" ht="36" customHeight="1" x14ac:dyDescent="0.2">
      <c r="A38" s="4628" t="s">
        <v>2498</v>
      </c>
      <c r="B38" s="4628"/>
      <c r="C38" s="4628"/>
      <c r="D38" s="4628"/>
      <c r="E38" s="4628"/>
      <c r="F38" s="4634" t="s">
        <v>2153</v>
      </c>
      <c r="G38" s="4635"/>
      <c r="H38" s="4635"/>
      <c r="I38" s="4635"/>
      <c r="J38" s="4636"/>
      <c r="K38" s="4632">
        <v>1300</v>
      </c>
      <c r="L38" s="4633"/>
    </row>
    <row r="39" spans="1:13" s="1654" customFormat="1" ht="25.5" customHeight="1" x14ac:dyDescent="0.2">
      <c r="A39" s="4628" t="s">
        <v>2499</v>
      </c>
      <c r="B39" s="4628"/>
      <c r="C39" s="4628"/>
      <c r="D39" s="4628"/>
      <c r="E39" s="4628"/>
      <c r="F39" s="4634" t="s">
        <v>2154</v>
      </c>
      <c r="G39" s="4635"/>
      <c r="H39" s="4635"/>
      <c r="I39" s="4635"/>
      <c r="J39" s="4636"/>
      <c r="K39" s="4632">
        <v>1150</v>
      </c>
      <c r="L39" s="4633"/>
    </row>
    <row r="40" spans="1:13" s="1654" customFormat="1" ht="24.75" customHeight="1" x14ac:dyDescent="0.2">
      <c r="A40" s="4637" t="s">
        <v>2155</v>
      </c>
      <c r="B40" s="4637"/>
      <c r="C40" s="4637"/>
      <c r="D40" s="4637"/>
      <c r="E40" s="4637"/>
      <c r="F40" s="2771" t="s">
        <v>2156</v>
      </c>
      <c r="G40" s="4638"/>
      <c r="H40" s="4638"/>
      <c r="I40" s="4638"/>
      <c r="J40" s="2772"/>
      <c r="K40" s="4639">
        <v>1800</v>
      </c>
      <c r="L40" s="4640"/>
    </row>
    <row r="41" spans="1:13" s="1654" customFormat="1" ht="25.5" customHeight="1" x14ac:dyDescent="0.2">
      <c r="A41" s="4628" t="s">
        <v>2157</v>
      </c>
      <c r="B41" s="4628"/>
      <c r="C41" s="4628"/>
      <c r="D41" s="4628"/>
      <c r="E41" s="4628"/>
      <c r="F41" s="4629" t="s">
        <v>2158</v>
      </c>
      <c r="G41" s="4630"/>
      <c r="H41" s="4630"/>
      <c r="I41" s="4630"/>
      <c r="J41" s="4631"/>
      <c r="K41" s="4632">
        <v>4200</v>
      </c>
      <c r="L41" s="4633"/>
    </row>
    <row r="42" spans="1:13" s="1654" customFormat="1" ht="24.75" customHeight="1" x14ac:dyDescent="0.2">
      <c r="A42" s="4628" t="s">
        <v>2159</v>
      </c>
      <c r="B42" s="4628"/>
      <c r="C42" s="4628"/>
      <c r="D42" s="4628"/>
      <c r="E42" s="4628"/>
      <c r="F42" s="4629" t="s">
        <v>2160</v>
      </c>
      <c r="G42" s="4630"/>
      <c r="H42" s="4630"/>
      <c r="I42" s="4630"/>
      <c r="J42" s="4631"/>
      <c r="K42" s="4632">
        <v>4200</v>
      </c>
      <c r="L42" s="4633"/>
    </row>
    <row r="43" spans="1:13" s="1654" customFormat="1" ht="24.75" customHeight="1" x14ac:dyDescent="0.2">
      <c r="A43" s="4628" t="s">
        <v>2146</v>
      </c>
      <c r="B43" s="4628"/>
      <c r="C43" s="4628"/>
      <c r="D43" s="4628"/>
      <c r="E43" s="4628"/>
      <c r="F43" s="4634" t="s">
        <v>2161</v>
      </c>
      <c r="G43" s="4635"/>
      <c r="H43" s="4635"/>
      <c r="I43" s="4635"/>
      <c r="J43" s="4636"/>
      <c r="K43" s="4632">
        <v>1150</v>
      </c>
      <c r="L43" s="4633"/>
    </row>
    <row r="44" spans="1:13" s="1654" customFormat="1" ht="11.25" customHeight="1" x14ac:dyDescent="0.2">
      <c r="C44" s="1671" t="s">
        <v>2162</v>
      </c>
      <c r="D44" s="1656"/>
      <c r="F44" s="1672"/>
      <c r="G44" s="1673"/>
      <c r="H44" s="1673"/>
      <c r="I44" s="1673"/>
      <c r="J44" s="1673"/>
      <c r="K44" s="1674"/>
      <c r="L44" s="1675"/>
    </row>
    <row r="45" spans="1:13" s="1654" customFormat="1" ht="12.75" customHeight="1" x14ac:dyDescent="0.2">
      <c r="H45" s="1671"/>
      <c r="I45" s="1671"/>
      <c r="J45" s="1671"/>
      <c r="K45" s="1669"/>
      <c r="L45" s="1675"/>
    </row>
    <row r="46" spans="1:13" s="1654" customFormat="1" x14ac:dyDescent="0.2">
      <c r="C46" s="1676" t="s">
        <v>2163</v>
      </c>
      <c r="D46" s="1677"/>
      <c r="E46" s="1677"/>
      <c r="F46" s="1677"/>
      <c r="G46" s="1671"/>
      <c r="H46" s="1671"/>
      <c r="I46" s="1671"/>
      <c r="J46" s="1671"/>
      <c r="K46" s="1669"/>
      <c r="L46" s="1675"/>
    </row>
    <row r="47" spans="1:13" s="1654" customFormat="1" x14ac:dyDescent="0.2">
      <c r="C47" s="1676" t="s">
        <v>2500</v>
      </c>
      <c r="D47" s="1677"/>
      <c r="E47" s="1677"/>
      <c r="F47" s="1677"/>
      <c r="G47" s="1671"/>
      <c r="H47" s="1671"/>
      <c r="I47" s="1671"/>
      <c r="J47" s="1671"/>
      <c r="K47" s="1669"/>
      <c r="L47" s="1675"/>
    </row>
    <row r="48" spans="1:13" s="1654" customFormat="1" x14ac:dyDescent="0.2">
      <c r="C48" s="1678" t="s">
        <v>2501</v>
      </c>
      <c r="D48" s="1677"/>
      <c r="E48" s="1677"/>
      <c r="F48" s="1677"/>
      <c r="G48" s="1679"/>
      <c r="H48" s="1680"/>
      <c r="I48" s="1680"/>
      <c r="J48" s="1680"/>
      <c r="K48" s="1669"/>
      <c r="L48" s="1675"/>
    </row>
    <row r="49" spans="1:12" s="1654" customFormat="1" x14ac:dyDescent="0.2">
      <c r="D49" s="1677"/>
      <c r="E49" s="1677"/>
      <c r="F49" s="1677"/>
      <c r="G49" s="1671"/>
      <c r="H49" s="1669"/>
      <c r="I49" s="1669"/>
      <c r="J49" s="1669"/>
      <c r="K49" s="1669"/>
      <c r="L49" s="1675"/>
    </row>
    <row r="50" spans="1:12" s="1654" customFormat="1" x14ac:dyDescent="0.2">
      <c r="C50" s="1677"/>
      <c r="D50" s="1677"/>
      <c r="E50" s="1677"/>
      <c r="F50" s="1677"/>
      <c r="G50" s="1671"/>
      <c r="H50" s="1671"/>
      <c r="I50" s="1671"/>
      <c r="J50" s="1671"/>
      <c r="K50" s="1669"/>
      <c r="L50" s="1675"/>
    </row>
    <row r="51" spans="1:12" s="1654" customFormat="1" x14ac:dyDescent="0.2">
      <c r="C51" s="1677"/>
      <c r="D51" s="1677"/>
      <c r="E51" s="1677"/>
      <c r="F51" s="1677"/>
      <c r="G51" s="1681"/>
      <c r="H51" s="1682"/>
      <c r="I51" s="1682"/>
      <c r="J51" s="1682"/>
      <c r="K51" s="1669"/>
      <c r="L51" s="1675"/>
    </row>
    <row r="52" spans="1:12" s="1654" customFormat="1" x14ac:dyDescent="0.2">
      <c r="A52" s="1660" t="s">
        <v>2164</v>
      </c>
      <c r="B52" s="1660"/>
      <c r="C52" s="1656"/>
      <c r="D52" s="1683"/>
      <c r="E52" s="1683"/>
      <c r="F52" s="1683"/>
      <c r="G52" s="1683"/>
      <c r="H52" s="1662"/>
      <c r="I52" s="1662"/>
      <c r="J52" s="1662"/>
      <c r="K52" s="1684"/>
      <c r="L52" s="1685"/>
    </row>
    <row r="53" spans="1:12" s="1654" customFormat="1" x14ac:dyDescent="0.2">
      <c r="C53" s="1656"/>
      <c r="D53" s="1683"/>
      <c r="E53" s="1683"/>
      <c r="F53" s="1683"/>
      <c r="G53" s="1683"/>
      <c r="H53" s="1662"/>
      <c r="I53" s="1662"/>
      <c r="J53" s="1662"/>
      <c r="K53" s="1669"/>
      <c r="L53" s="1655"/>
    </row>
    <row r="54" spans="1:12" ht="14.25" customHeight="1" x14ac:dyDescent="0.2">
      <c r="C54" s="1656"/>
      <c r="D54" s="1683"/>
      <c r="E54" s="1683"/>
      <c r="F54" s="1683"/>
      <c r="G54" s="1683"/>
      <c r="H54" s="1662"/>
      <c r="I54" s="1662"/>
      <c r="J54" s="1662"/>
      <c r="K54" s="1669"/>
    </row>
    <row r="55" spans="1:12" ht="14.25" customHeight="1" x14ac:dyDescent="0.2">
      <c r="A55" s="1686"/>
      <c r="C55" s="1687"/>
      <c r="D55" s="1683"/>
      <c r="E55" s="1683"/>
      <c r="F55" s="1683"/>
      <c r="G55" s="1683"/>
      <c r="H55" s="1662"/>
      <c r="I55" s="1662"/>
      <c r="J55" s="1662"/>
      <c r="K55" s="1669"/>
    </row>
    <row r="56" spans="1:12" ht="14.25" customHeight="1" x14ac:dyDescent="0.2">
      <c r="A56" s="1688"/>
      <c r="C56" s="1656"/>
      <c r="D56" s="1683"/>
      <c r="E56" s="1683"/>
      <c r="F56" s="1683"/>
      <c r="G56" s="1683"/>
      <c r="H56" s="1662"/>
      <c r="I56" s="1662"/>
      <c r="J56" s="1662"/>
      <c r="K56" s="1669"/>
    </row>
  </sheetData>
  <sheetProtection selectLockedCells="1" selectUnlockedCells="1"/>
  <mergeCells count="101">
    <mergeCell ref="A7:L7"/>
    <mergeCell ref="K8:L8"/>
    <mergeCell ref="A9:A10"/>
    <mergeCell ref="B9:C10"/>
    <mergeCell ref="D9:H10"/>
    <mergeCell ref="I9:I10"/>
    <mergeCell ref="J9:J10"/>
    <mergeCell ref="K9:L9"/>
    <mergeCell ref="A13:L13"/>
    <mergeCell ref="A14:E14"/>
    <mergeCell ref="F14:J14"/>
    <mergeCell ref="K14:L14"/>
    <mergeCell ref="A15:E15"/>
    <mergeCell ref="F15:J15"/>
    <mergeCell ref="K15:L15"/>
    <mergeCell ref="A11:A12"/>
    <mergeCell ref="B11:C11"/>
    <mergeCell ref="D11:H11"/>
    <mergeCell ref="I11:I12"/>
    <mergeCell ref="J11:J12"/>
    <mergeCell ref="B12:C12"/>
    <mergeCell ref="D12:H12"/>
    <mergeCell ref="A18:E18"/>
    <mergeCell ref="F18:J18"/>
    <mergeCell ref="K18:L18"/>
    <mergeCell ref="A19:E19"/>
    <mergeCell ref="F19:J19"/>
    <mergeCell ref="K19:L19"/>
    <mergeCell ref="A16:E16"/>
    <mergeCell ref="F16:J16"/>
    <mergeCell ref="K16:L16"/>
    <mergeCell ref="A17:E17"/>
    <mergeCell ref="F17:J17"/>
    <mergeCell ref="K17:L17"/>
    <mergeCell ref="A22:E22"/>
    <mergeCell ref="F22:J22"/>
    <mergeCell ref="K22:L22"/>
    <mergeCell ref="A23:E23"/>
    <mergeCell ref="F23:J23"/>
    <mergeCell ref="K23:L23"/>
    <mergeCell ref="A20:E20"/>
    <mergeCell ref="F20:J20"/>
    <mergeCell ref="K20:L20"/>
    <mergeCell ref="A21:E21"/>
    <mergeCell ref="F21:J21"/>
    <mergeCell ref="K21:L21"/>
    <mergeCell ref="A26:E26"/>
    <mergeCell ref="F26:J26"/>
    <mergeCell ref="K26:L26"/>
    <mergeCell ref="A27:E27"/>
    <mergeCell ref="F27:J27"/>
    <mergeCell ref="K27:L27"/>
    <mergeCell ref="A24:E24"/>
    <mergeCell ref="F24:J24"/>
    <mergeCell ref="K24:L24"/>
    <mergeCell ref="A25:E25"/>
    <mergeCell ref="F25:J25"/>
    <mergeCell ref="K25:L25"/>
    <mergeCell ref="A28:E28"/>
    <mergeCell ref="F28:J28"/>
    <mergeCell ref="K28:L28"/>
    <mergeCell ref="A29:L29"/>
    <mergeCell ref="A31:A32"/>
    <mergeCell ref="B31:C32"/>
    <mergeCell ref="D31:H32"/>
    <mergeCell ref="I31:I32"/>
    <mergeCell ref="J31:J32"/>
    <mergeCell ref="K31:L31"/>
    <mergeCell ref="F37:J37"/>
    <mergeCell ref="K37:L37"/>
    <mergeCell ref="A33:A34"/>
    <mergeCell ref="B33:C33"/>
    <mergeCell ref="D33:H33"/>
    <mergeCell ref="I33:I34"/>
    <mergeCell ref="J33:J34"/>
    <mergeCell ref="B34:C34"/>
    <mergeCell ref="D34:H34"/>
    <mergeCell ref="A1:L5"/>
    <mergeCell ref="A42:E42"/>
    <mergeCell ref="F42:J42"/>
    <mergeCell ref="K42:L42"/>
    <mergeCell ref="A43:E43"/>
    <mergeCell ref="F43:J43"/>
    <mergeCell ref="K43:L43"/>
    <mergeCell ref="A40:E40"/>
    <mergeCell ref="F40:J40"/>
    <mergeCell ref="K40:L40"/>
    <mergeCell ref="A41:E41"/>
    <mergeCell ref="F41:J41"/>
    <mergeCell ref="K41:L41"/>
    <mergeCell ref="A38:E38"/>
    <mergeCell ref="F38:J38"/>
    <mergeCell ref="K38:L38"/>
    <mergeCell ref="A39:E39"/>
    <mergeCell ref="F39:J39"/>
    <mergeCell ref="K39:L39"/>
    <mergeCell ref="A35:L35"/>
    <mergeCell ref="A36:E36"/>
    <mergeCell ref="F36:J36"/>
    <mergeCell ref="K36:L36"/>
    <mergeCell ref="A37:E37"/>
  </mergeCells>
  <printOptions horizontalCentered="1"/>
  <pageMargins left="0.19685039370078741" right="0.19685039370078741" top="0.19685039370078741" bottom="0" header="0.51181102362204722" footer="0.51181102362204722"/>
  <pageSetup paperSize="9" scale="70" firstPageNumber="0" orientation="portrait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9"/>
  <dimension ref="A1:H56"/>
  <sheetViews>
    <sheetView topLeftCell="A28" zoomScaleNormal="100" workbookViewId="0">
      <selection sqref="A1:C2"/>
    </sheetView>
  </sheetViews>
  <sheetFormatPr defaultRowHeight="11.25" x14ac:dyDescent="0.2"/>
  <cols>
    <col min="1" max="1" width="20.7109375" style="1658" customWidth="1"/>
    <col min="2" max="2" width="12.5703125" style="1658" customWidth="1"/>
    <col min="3" max="3" width="26" style="1658" customWidth="1"/>
    <col min="4" max="4" width="24.5703125" style="1658" customWidth="1"/>
    <col min="5" max="5" width="26.7109375" style="1658" customWidth="1"/>
    <col min="6" max="6" width="12.5703125" style="1658" customWidth="1"/>
    <col min="7" max="7" width="12" style="1658" customWidth="1"/>
    <col min="8" max="8" width="2.85546875" style="1658" customWidth="1"/>
    <col min="9" max="248" width="9.140625" style="1658"/>
    <col min="249" max="249" width="19.140625" style="1658" customWidth="1"/>
    <col min="250" max="250" width="12.5703125" style="1658" customWidth="1"/>
    <col min="251" max="251" width="26" style="1658" customWidth="1"/>
    <col min="252" max="252" width="24.5703125" style="1658" customWidth="1"/>
    <col min="253" max="253" width="26.7109375" style="1658" customWidth="1"/>
    <col min="254" max="254" width="12.5703125" style="1658" customWidth="1"/>
    <col min="255" max="255" width="12" style="1658" customWidth="1"/>
    <col min="256" max="256" width="2.85546875" style="1658" customWidth="1"/>
    <col min="257" max="257" width="10.42578125" style="1658" customWidth="1"/>
    <col min="258" max="258" width="18" style="1658" customWidth="1"/>
    <col min="259" max="259" width="15.42578125" style="1658" customWidth="1"/>
    <col min="260" max="260" width="27.28515625" style="1658" customWidth="1"/>
    <col min="261" max="261" width="9.140625" style="1658"/>
    <col min="262" max="262" width="10.7109375" style="1658" customWidth="1"/>
    <col min="263" max="504" width="9.140625" style="1658"/>
    <col min="505" max="505" width="19.140625" style="1658" customWidth="1"/>
    <col min="506" max="506" width="12.5703125" style="1658" customWidth="1"/>
    <col min="507" max="507" width="26" style="1658" customWidth="1"/>
    <col min="508" max="508" width="24.5703125" style="1658" customWidth="1"/>
    <col min="509" max="509" width="26.7109375" style="1658" customWidth="1"/>
    <col min="510" max="510" width="12.5703125" style="1658" customWidth="1"/>
    <col min="511" max="511" width="12" style="1658" customWidth="1"/>
    <col min="512" max="512" width="2.85546875" style="1658" customWidth="1"/>
    <col min="513" max="513" width="10.42578125" style="1658" customWidth="1"/>
    <col min="514" max="514" width="18" style="1658" customWidth="1"/>
    <col min="515" max="515" width="15.42578125" style="1658" customWidth="1"/>
    <col min="516" max="516" width="27.28515625" style="1658" customWidth="1"/>
    <col min="517" max="517" width="9.140625" style="1658"/>
    <col min="518" max="518" width="10.7109375" style="1658" customWidth="1"/>
    <col min="519" max="760" width="9.140625" style="1658"/>
    <col min="761" max="761" width="19.140625" style="1658" customWidth="1"/>
    <col min="762" max="762" width="12.5703125" style="1658" customWidth="1"/>
    <col min="763" max="763" width="26" style="1658" customWidth="1"/>
    <col min="764" max="764" width="24.5703125" style="1658" customWidth="1"/>
    <col min="765" max="765" width="26.7109375" style="1658" customWidth="1"/>
    <col min="766" max="766" width="12.5703125" style="1658" customWidth="1"/>
    <col min="767" max="767" width="12" style="1658" customWidth="1"/>
    <col min="768" max="768" width="2.85546875" style="1658" customWidth="1"/>
    <col min="769" max="769" width="10.42578125" style="1658" customWidth="1"/>
    <col min="770" max="770" width="18" style="1658" customWidth="1"/>
    <col min="771" max="771" width="15.42578125" style="1658" customWidth="1"/>
    <col min="772" max="772" width="27.28515625" style="1658" customWidth="1"/>
    <col min="773" max="773" width="9.140625" style="1658"/>
    <col min="774" max="774" width="10.7109375" style="1658" customWidth="1"/>
    <col min="775" max="1016" width="9.140625" style="1658"/>
    <col min="1017" max="1017" width="19.140625" style="1658" customWidth="1"/>
    <col min="1018" max="1018" width="12.5703125" style="1658" customWidth="1"/>
    <col min="1019" max="1019" width="26" style="1658" customWidth="1"/>
    <col min="1020" max="1020" width="24.5703125" style="1658" customWidth="1"/>
    <col min="1021" max="1021" width="26.7109375" style="1658" customWidth="1"/>
    <col min="1022" max="1022" width="12.5703125" style="1658" customWidth="1"/>
    <col min="1023" max="1023" width="12" style="1658" customWidth="1"/>
    <col min="1024" max="1024" width="2.85546875" style="1658" customWidth="1"/>
    <col min="1025" max="1025" width="10.42578125" style="1658" customWidth="1"/>
    <col min="1026" max="1026" width="18" style="1658" customWidth="1"/>
    <col min="1027" max="1027" width="15.42578125" style="1658" customWidth="1"/>
    <col min="1028" max="1028" width="27.28515625" style="1658" customWidth="1"/>
    <col min="1029" max="1029" width="9.140625" style="1658"/>
    <col min="1030" max="1030" width="10.7109375" style="1658" customWidth="1"/>
    <col min="1031" max="1272" width="9.140625" style="1658"/>
    <col min="1273" max="1273" width="19.140625" style="1658" customWidth="1"/>
    <col min="1274" max="1274" width="12.5703125" style="1658" customWidth="1"/>
    <col min="1275" max="1275" width="26" style="1658" customWidth="1"/>
    <col min="1276" max="1276" width="24.5703125" style="1658" customWidth="1"/>
    <col min="1277" max="1277" width="26.7109375" style="1658" customWidth="1"/>
    <col min="1278" max="1278" width="12.5703125" style="1658" customWidth="1"/>
    <col min="1279" max="1279" width="12" style="1658" customWidth="1"/>
    <col min="1280" max="1280" width="2.85546875" style="1658" customWidth="1"/>
    <col min="1281" max="1281" width="10.42578125" style="1658" customWidth="1"/>
    <col min="1282" max="1282" width="18" style="1658" customWidth="1"/>
    <col min="1283" max="1283" width="15.42578125" style="1658" customWidth="1"/>
    <col min="1284" max="1284" width="27.28515625" style="1658" customWidth="1"/>
    <col min="1285" max="1285" width="9.140625" style="1658"/>
    <col min="1286" max="1286" width="10.7109375" style="1658" customWidth="1"/>
    <col min="1287" max="1528" width="9.140625" style="1658"/>
    <col min="1529" max="1529" width="19.140625" style="1658" customWidth="1"/>
    <col min="1530" max="1530" width="12.5703125" style="1658" customWidth="1"/>
    <col min="1531" max="1531" width="26" style="1658" customWidth="1"/>
    <col min="1532" max="1532" width="24.5703125" style="1658" customWidth="1"/>
    <col min="1533" max="1533" width="26.7109375" style="1658" customWidth="1"/>
    <col min="1534" max="1534" width="12.5703125" style="1658" customWidth="1"/>
    <col min="1535" max="1535" width="12" style="1658" customWidth="1"/>
    <col min="1536" max="1536" width="2.85546875" style="1658" customWidth="1"/>
    <col min="1537" max="1537" width="10.42578125" style="1658" customWidth="1"/>
    <col min="1538" max="1538" width="18" style="1658" customWidth="1"/>
    <col min="1539" max="1539" width="15.42578125" style="1658" customWidth="1"/>
    <col min="1540" max="1540" width="27.28515625" style="1658" customWidth="1"/>
    <col min="1541" max="1541" width="9.140625" style="1658"/>
    <col min="1542" max="1542" width="10.7109375" style="1658" customWidth="1"/>
    <col min="1543" max="1784" width="9.140625" style="1658"/>
    <col min="1785" max="1785" width="19.140625" style="1658" customWidth="1"/>
    <col min="1786" max="1786" width="12.5703125" style="1658" customWidth="1"/>
    <col min="1787" max="1787" width="26" style="1658" customWidth="1"/>
    <col min="1788" max="1788" width="24.5703125" style="1658" customWidth="1"/>
    <col min="1789" max="1789" width="26.7109375" style="1658" customWidth="1"/>
    <col min="1790" max="1790" width="12.5703125" style="1658" customWidth="1"/>
    <col min="1791" max="1791" width="12" style="1658" customWidth="1"/>
    <col min="1792" max="1792" width="2.85546875" style="1658" customWidth="1"/>
    <col min="1793" max="1793" width="10.42578125" style="1658" customWidth="1"/>
    <col min="1794" max="1794" width="18" style="1658" customWidth="1"/>
    <col min="1795" max="1795" width="15.42578125" style="1658" customWidth="1"/>
    <col min="1796" max="1796" width="27.28515625" style="1658" customWidth="1"/>
    <col min="1797" max="1797" width="9.140625" style="1658"/>
    <col min="1798" max="1798" width="10.7109375" style="1658" customWidth="1"/>
    <col min="1799" max="2040" width="9.140625" style="1658"/>
    <col min="2041" max="2041" width="19.140625" style="1658" customWidth="1"/>
    <col min="2042" max="2042" width="12.5703125" style="1658" customWidth="1"/>
    <col min="2043" max="2043" width="26" style="1658" customWidth="1"/>
    <col min="2044" max="2044" width="24.5703125" style="1658" customWidth="1"/>
    <col min="2045" max="2045" width="26.7109375" style="1658" customWidth="1"/>
    <col min="2046" max="2046" width="12.5703125" style="1658" customWidth="1"/>
    <col min="2047" max="2047" width="12" style="1658" customWidth="1"/>
    <col min="2048" max="2048" width="2.85546875" style="1658" customWidth="1"/>
    <col min="2049" max="2049" width="10.42578125" style="1658" customWidth="1"/>
    <col min="2050" max="2050" width="18" style="1658" customWidth="1"/>
    <col min="2051" max="2051" width="15.42578125" style="1658" customWidth="1"/>
    <col min="2052" max="2052" width="27.28515625" style="1658" customWidth="1"/>
    <col min="2053" max="2053" width="9.140625" style="1658"/>
    <col min="2054" max="2054" width="10.7109375" style="1658" customWidth="1"/>
    <col min="2055" max="2296" width="9.140625" style="1658"/>
    <col min="2297" max="2297" width="19.140625" style="1658" customWidth="1"/>
    <col min="2298" max="2298" width="12.5703125" style="1658" customWidth="1"/>
    <col min="2299" max="2299" width="26" style="1658" customWidth="1"/>
    <col min="2300" max="2300" width="24.5703125" style="1658" customWidth="1"/>
    <col min="2301" max="2301" width="26.7109375" style="1658" customWidth="1"/>
    <col min="2302" max="2302" width="12.5703125" style="1658" customWidth="1"/>
    <col min="2303" max="2303" width="12" style="1658" customWidth="1"/>
    <col min="2304" max="2304" width="2.85546875" style="1658" customWidth="1"/>
    <col min="2305" max="2305" width="10.42578125" style="1658" customWidth="1"/>
    <col min="2306" max="2306" width="18" style="1658" customWidth="1"/>
    <col min="2307" max="2307" width="15.42578125" style="1658" customWidth="1"/>
    <col min="2308" max="2308" width="27.28515625" style="1658" customWidth="1"/>
    <col min="2309" max="2309" width="9.140625" style="1658"/>
    <col min="2310" max="2310" width="10.7109375" style="1658" customWidth="1"/>
    <col min="2311" max="2552" width="9.140625" style="1658"/>
    <col min="2553" max="2553" width="19.140625" style="1658" customWidth="1"/>
    <col min="2554" max="2554" width="12.5703125" style="1658" customWidth="1"/>
    <col min="2555" max="2555" width="26" style="1658" customWidth="1"/>
    <col min="2556" max="2556" width="24.5703125" style="1658" customWidth="1"/>
    <col min="2557" max="2557" width="26.7109375" style="1658" customWidth="1"/>
    <col min="2558" max="2558" width="12.5703125" style="1658" customWidth="1"/>
    <col min="2559" max="2559" width="12" style="1658" customWidth="1"/>
    <col min="2560" max="2560" width="2.85546875" style="1658" customWidth="1"/>
    <col min="2561" max="2561" width="10.42578125" style="1658" customWidth="1"/>
    <col min="2562" max="2562" width="18" style="1658" customWidth="1"/>
    <col min="2563" max="2563" width="15.42578125" style="1658" customWidth="1"/>
    <col min="2564" max="2564" width="27.28515625" style="1658" customWidth="1"/>
    <col min="2565" max="2565" width="9.140625" style="1658"/>
    <col min="2566" max="2566" width="10.7109375" style="1658" customWidth="1"/>
    <col min="2567" max="2808" width="9.140625" style="1658"/>
    <col min="2809" max="2809" width="19.140625" style="1658" customWidth="1"/>
    <col min="2810" max="2810" width="12.5703125" style="1658" customWidth="1"/>
    <col min="2811" max="2811" width="26" style="1658" customWidth="1"/>
    <col min="2812" max="2812" width="24.5703125" style="1658" customWidth="1"/>
    <col min="2813" max="2813" width="26.7109375" style="1658" customWidth="1"/>
    <col min="2814" max="2814" width="12.5703125" style="1658" customWidth="1"/>
    <col min="2815" max="2815" width="12" style="1658" customWidth="1"/>
    <col min="2816" max="2816" width="2.85546875" style="1658" customWidth="1"/>
    <col min="2817" max="2817" width="10.42578125" style="1658" customWidth="1"/>
    <col min="2818" max="2818" width="18" style="1658" customWidth="1"/>
    <col min="2819" max="2819" width="15.42578125" style="1658" customWidth="1"/>
    <col min="2820" max="2820" width="27.28515625" style="1658" customWidth="1"/>
    <col min="2821" max="2821" width="9.140625" style="1658"/>
    <col min="2822" max="2822" width="10.7109375" style="1658" customWidth="1"/>
    <col min="2823" max="3064" width="9.140625" style="1658"/>
    <col min="3065" max="3065" width="19.140625" style="1658" customWidth="1"/>
    <col min="3066" max="3066" width="12.5703125" style="1658" customWidth="1"/>
    <col min="3067" max="3067" width="26" style="1658" customWidth="1"/>
    <col min="3068" max="3068" width="24.5703125" style="1658" customWidth="1"/>
    <col min="3069" max="3069" width="26.7109375" style="1658" customWidth="1"/>
    <col min="3070" max="3070" width="12.5703125" style="1658" customWidth="1"/>
    <col min="3071" max="3071" width="12" style="1658" customWidth="1"/>
    <col min="3072" max="3072" width="2.85546875" style="1658" customWidth="1"/>
    <col min="3073" max="3073" width="10.42578125" style="1658" customWidth="1"/>
    <col min="3074" max="3074" width="18" style="1658" customWidth="1"/>
    <col min="3075" max="3075" width="15.42578125" style="1658" customWidth="1"/>
    <col min="3076" max="3076" width="27.28515625" style="1658" customWidth="1"/>
    <col min="3077" max="3077" width="9.140625" style="1658"/>
    <col min="3078" max="3078" width="10.7109375" style="1658" customWidth="1"/>
    <col min="3079" max="3320" width="9.140625" style="1658"/>
    <col min="3321" max="3321" width="19.140625" style="1658" customWidth="1"/>
    <col min="3322" max="3322" width="12.5703125" style="1658" customWidth="1"/>
    <col min="3323" max="3323" width="26" style="1658" customWidth="1"/>
    <col min="3324" max="3324" width="24.5703125" style="1658" customWidth="1"/>
    <col min="3325" max="3325" width="26.7109375" style="1658" customWidth="1"/>
    <col min="3326" max="3326" width="12.5703125" style="1658" customWidth="1"/>
    <col min="3327" max="3327" width="12" style="1658" customWidth="1"/>
    <col min="3328" max="3328" width="2.85546875" style="1658" customWidth="1"/>
    <col min="3329" max="3329" width="10.42578125" style="1658" customWidth="1"/>
    <col min="3330" max="3330" width="18" style="1658" customWidth="1"/>
    <col min="3331" max="3331" width="15.42578125" style="1658" customWidth="1"/>
    <col min="3332" max="3332" width="27.28515625" style="1658" customWidth="1"/>
    <col min="3333" max="3333" width="9.140625" style="1658"/>
    <col min="3334" max="3334" width="10.7109375" style="1658" customWidth="1"/>
    <col min="3335" max="3576" width="9.140625" style="1658"/>
    <col min="3577" max="3577" width="19.140625" style="1658" customWidth="1"/>
    <col min="3578" max="3578" width="12.5703125" style="1658" customWidth="1"/>
    <col min="3579" max="3579" width="26" style="1658" customWidth="1"/>
    <col min="3580" max="3580" width="24.5703125" style="1658" customWidth="1"/>
    <col min="3581" max="3581" width="26.7109375" style="1658" customWidth="1"/>
    <col min="3582" max="3582" width="12.5703125" style="1658" customWidth="1"/>
    <col min="3583" max="3583" width="12" style="1658" customWidth="1"/>
    <col min="3584" max="3584" width="2.85546875" style="1658" customWidth="1"/>
    <col min="3585" max="3585" width="10.42578125" style="1658" customWidth="1"/>
    <col min="3586" max="3586" width="18" style="1658" customWidth="1"/>
    <col min="3587" max="3587" width="15.42578125" style="1658" customWidth="1"/>
    <col min="3588" max="3588" width="27.28515625" style="1658" customWidth="1"/>
    <col min="3589" max="3589" width="9.140625" style="1658"/>
    <col min="3590" max="3590" width="10.7109375" style="1658" customWidth="1"/>
    <col min="3591" max="3832" width="9.140625" style="1658"/>
    <col min="3833" max="3833" width="19.140625" style="1658" customWidth="1"/>
    <col min="3834" max="3834" width="12.5703125" style="1658" customWidth="1"/>
    <col min="3835" max="3835" width="26" style="1658" customWidth="1"/>
    <col min="3836" max="3836" width="24.5703125" style="1658" customWidth="1"/>
    <col min="3837" max="3837" width="26.7109375" style="1658" customWidth="1"/>
    <col min="3838" max="3838" width="12.5703125" style="1658" customWidth="1"/>
    <col min="3839" max="3839" width="12" style="1658" customWidth="1"/>
    <col min="3840" max="3840" width="2.85546875" style="1658" customWidth="1"/>
    <col min="3841" max="3841" width="10.42578125" style="1658" customWidth="1"/>
    <col min="3842" max="3842" width="18" style="1658" customWidth="1"/>
    <col min="3843" max="3843" width="15.42578125" style="1658" customWidth="1"/>
    <col min="3844" max="3844" width="27.28515625" style="1658" customWidth="1"/>
    <col min="3845" max="3845" width="9.140625" style="1658"/>
    <col min="3846" max="3846" width="10.7109375" style="1658" customWidth="1"/>
    <col min="3847" max="4088" width="9.140625" style="1658"/>
    <col min="4089" max="4089" width="19.140625" style="1658" customWidth="1"/>
    <col min="4090" max="4090" width="12.5703125" style="1658" customWidth="1"/>
    <col min="4091" max="4091" width="26" style="1658" customWidth="1"/>
    <col min="4092" max="4092" width="24.5703125" style="1658" customWidth="1"/>
    <col min="4093" max="4093" width="26.7109375" style="1658" customWidth="1"/>
    <col min="4094" max="4094" width="12.5703125" style="1658" customWidth="1"/>
    <col min="4095" max="4095" width="12" style="1658" customWidth="1"/>
    <col min="4096" max="4096" width="2.85546875" style="1658" customWidth="1"/>
    <col min="4097" max="4097" width="10.42578125" style="1658" customWidth="1"/>
    <col min="4098" max="4098" width="18" style="1658" customWidth="1"/>
    <col min="4099" max="4099" width="15.42578125" style="1658" customWidth="1"/>
    <col min="4100" max="4100" width="27.28515625" style="1658" customWidth="1"/>
    <col min="4101" max="4101" width="9.140625" style="1658"/>
    <col min="4102" max="4102" width="10.7109375" style="1658" customWidth="1"/>
    <col min="4103" max="4344" width="9.140625" style="1658"/>
    <col min="4345" max="4345" width="19.140625" style="1658" customWidth="1"/>
    <col min="4346" max="4346" width="12.5703125" style="1658" customWidth="1"/>
    <col min="4347" max="4347" width="26" style="1658" customWidth="1"/>
    <col min="4348" max="4348" width="24.5703125" style="1658" customWidth="1"/>
    <col min="4349" max="4349" width="26.7109375" style="1658" customWidth="1"/>
    <col min="4350" max="4350" width="12.5703125" style="1658" customWidth="1"/>
    <col min="4351" max="4351" width="12" style="1658" customWidth="1"/>
    <col min="4352" max="4352" width="2.85546875" style="1658" customWidth="1"/>
    <col min="4353" max="4353" width="10.42578125" style="1658" customWidth="1"/>
    <col min="4354" max="4354" width="18" style="1658" customWidth="1"/>
    <col min="4355" max="4355" width="15.42578125" style="1658" customWidth="1"/>
    <col min="4356" max="4356" width="27.28515625" style="1658" customWidth="1"/>
    <col min="4357" max="4357" width="9.140625" style="1658"/>
    <col min="4358" max="4358" width="10.7109375" style="1658" customWidth="1"/>
    <col min="4359" max="4600" width="9.140625" style="1658"/>
    <col min="4601" max="4601" width="19.140625" style="1658" customWidth="1"/>
    <col min="4602" max="4602" width="12.5703125" style="1658" customWidth="1"/>
    <col min="4603" max="4603" width="26" style="1658" customWidth="1"/>
    <col min="4604" max="4604" width="24.5703125" style="1658" customWidth="1"/>
    <col min="4605" max="4605" width="26.7109375" style="1658" customWidth="1"/>
    <col min="4606" max="4606" width="12.5703125" style="1658" customWidth="1"/>
    <col min="4607" max="4607" width="12" style="1658" customWidth="1"/>
    <col min="4608" max="4608" width="2.85546875" style="1658" customWidth="1"/>
    <col min="4609" max="4609" width="10.42578125" style="1658" customWidth="1"/>
    <col min="4610" max="4610" width="18" style="1658" customWidth="1"/>
    <col min="4611" max="4611" width="15.42578125" style="1658" customWidth="1"/>
    <col min="4612" max="4612" width="27.28515625" style="1658" customWidth="1"/>
    <col min="4613" max="4613" width="9.140625" style="1658"/>
    <col min="4614" max="4614" width="10.7109375" style="1658" customWidth="1"/>
    <col min="4615" max="4856" width="9.140625" style="1658"/>
    <col min="4857" max="4857" width="19.140625" style="1658" customWidth="1"/>
    <col min="4858" max="4858" width="12.5703125" style="1658" customWidth="1"/>
    <col min="4859" max="4859" width="26" style="1658" customWidth="1"/>
    <col min="4860" max="4860" width="24.5703125" style="1658" customWidth="1"/>
    <col min="4861" max="4861" width="26.7109375" style="1658" customWidth="1"/>
    <col min="4862" max="4862" width="12.5703125" style="1658" customWidth="1"/>
    <col min="4863" max="4863" width="12" style="1658" customWidth="1"/>
    <col min="4864" max="4864" width="2.85546875" style="1658" customWidth="1"/>
    <col min="4865" max="4865" width="10.42578125" style="1658" customWidth="1"/>
    <col min="4866" max="4866" width="18" style="1658" customWidth="1"/>
    <col min="4867" max="4867" width="15.42578125" style="1658" customWidth="1"/>
    <col min="4868" max="4868" width="27.28515625" style="1658" customWidth="1"/>
    <col min="4869" max="4869" width="9.140625" style="1658"/>
    <col min="4870" max="4870" width="10.7109375" style="1658" customWidth="1"/>
    <col min="4871" max="5112" width="9.140625" style="1658"/>
    <col min="5113" max="5113" width="19.140625" style="1658" customWidth="1"/>
    <col min="5114" max="5114" width="12.5703125" style="1658" customWidth="1"/>
    <col min="5115" max="5115" width="26" style="1658" customWidth="1"/>
    <col min="5116" max="5116" width="24.5703125" style="1658" customWidth="1"/>
    <col min="5117" max="5117" width="26.7109375" style="1658" customWidth="1"/>
    <col min="5118" max="5118" width="12.5703125" style="1658" customWidth="1"/>
    <col min="5119" max="5119" width="12" style="1658" customWidth="1"/>
    <col min="5120" max="5120" width="2.85546875" style="1658" customWidth="1"/>
    <col min="5121" max="5121" width="10.42578125" style="1658" customWidth="1"/>
    <col min="5122" max="5122" width="18" style="1658" customWidth="1"/>
    <col min="5123" max="5123" width="15.42578125" style="1658" customWidth="1"/>
    <col min="5124" max="5124" width="27.28515625" style="1658" customWidth="1"/>
    <col min="5125" max="5125" width="9.140625" style="1658"/>
    <col min="5126" max="5126" width="10.7109375" style="1658" customWidth="1"/>
    <col min="5127" max="5368" width="9.140625" style="1658"/>
    <col min="5369" max="5369" width="19.140625" style="1658" customWidth="1"/>
    <col min="5370" max="5370" width="12.5703125" style="1658" customWidth="1"/>
    <col min="5371" max="5371" width="26" style="1658" customWidth="1"/>
    <col min="5372" max="5372" width="24.5703125" style="1658" customWidth="1"/>
    <col min="5373" max="5373" width="26.7109375" style="1658" customWidth="1"/>
    <col min="5374" max="5374" width="12.5703125" style="1658" customWidth="1"/>
    <col min="5375" max="5375" width="12" style="1658" customWidth="1"/>
    <col min="5376" max="5376" width="2.85546875" style="1658" customWidth="1"/>
    <col min="5377" max="5377" width="10.42578125" style="1658" customWidth="1"/>
    <col min="5378" max="5378" width="18" style="1658" customWidth="1"/>
    <col min="5379" max="5379" width="15.42578125" style="1658" customWidth="1"/>
    <col min="5380" max="5380" width="27.28515625" style="1658" customWidth="1"/>
    <col min="5381" max="5381" width="9.140625" style="1658"/>
    <col min="5382" max="5382" width="10.7109375" style="1658" customWidth="1"/>
    <col min="5383" max="5624" width="9.140625" style="1658"/>
    <col min="5625" max="5625" width="19.140625" style="1658" customWidth="1"/>
    <col min="5626" max="5626" width="12.5703125" style="1658" customWidth="1"/>
    <col min="5627" max="5627" width="26" style="1658" customWidth="1"/>
    <col min="5628" max="5628" width="24.5703125" style="1658" customWidth="1"/>
    <col min="5629" max="5629" width="26.7109375" style="1658" customWidth="1"/>
    <col min="5630" max="5630" width="12.5703125" style="1658" customWidth="1"/>
    <col min="5631" max="5631" width="12" style="1658" customWidth="1"/>
    <col min="5632" max="5632" width="2.85546875" style="1658" customWidth="1"/>
    <col min="5633" max="5633" width="10.42578125" style="1658" customWidth="1"/>
    <col min="5634" max="5634" width="18" style="1658" customWidth="1"/>
    <col min="5635" max="5635" width="15.42578125" style="1658" customWidth="1"/>
    <col min="5636" max="5636" width="27.28515625" style="1658" customWidth="1"/>
    <col min="5637" max="5637" width="9.140625" style="1658"/>
    <col min="5638" max="5638" width="10.7109375" style="1658" customWidth="1"/>
    <col min="5639" max="5880" width="9.140625" style="1658"/>
    <col min="5881" max="5881" width="19.140625" style="1658" customWidth="1"/>
    <col min="5882" max="5882" width="12.5703125" style="1658" customWidth="1"/>
    <col min="5883" max="5883" width="26" style="1658" customWidth="1"/>
    <col min="5884" max="5884" width="24.5703125" style="1658" customWidth="1"/>
    <col min="5885" max="5885" width="26.7109375" style="1658" customWidth="1"/>
    <col min="5886" max="5886" width="12.5703125" style="1658" customWidth="1"/>
    <col min="5887" max="5887" width="12" style="1658" customWidth="1"/>
    <col min="5888" max="5888" width="2.85546875" style="1658" customWidth="1"/>
    <col min="5889" max="5889" width="10.42578125" style="1658" customWidth="1"/>
    <col min="5890" max="5890" width="18" style="1658" customWidth="1"/>
    <col min="5891" max="5891" width="15.42578125" style="1658" customWidth="1"/>
    <col min="5892" max="5892" width="27.28515625" style="1658" customWidth="1"/>
    <col min="5893" max="5893" width="9.140625" style="1658"/>
    <col min="5894" max="5894" width="10.7109375" style="1658" customWidth="1"/>
    <col min="5895" max="6136" width="9.140625" style="1658"/>
    <col min="6137" max="6137" width="19.140625" style="1658" customWidth="1"/>
    <col min="6138" max="6138" width="12.5703125" style="1658" customWidth="1"/>
    <col min="6139" max="6139" width="26" style="1658" customWidth="1"/>
    <col min="6140" max="6140" width="24.5703125" style="1658" customWidth="1"/>
    <col min="6141" max="6141" width="26.7109375" style="1658" customWidth="1"/>
    <col min="6142" max="6142" width="12.5703125" style="1658" customWidth="1"/>
    <col min="6143" max="6143" width="12" style="1658" customWidth="1"/>
    <col min="6144" max="6144" width="2.85546875" style="1658" customWidth="1"/>
    <col min="6145" max="6145" width="10.42578125" style="1658" customWidth="1"/>
    <col min="6146" max="6146" width="18" style="1658" customWidth="1"/>
    <col min="6147" max="6147" width="15.42578125" style="1658" customWidth="1"/>
    <col min="6148" max="6148" width="27.28515625" style="1658" customWidth="1"/>
    <col min="6149" max="6149" width="9.140625" style="1658"/>
    <col min="6150" max="6150" width="10.7109375" style="1658" customWidth="1"/>
    <col min="6151" max="6392" width="9.140625" style="1658"/>
    <col min="6393" max="6393" width="19.140625" style="1658" customWidth="1"/>
    <col min="6394" max="6394" width="12.5703125" style="1658" customWidth="1"/>
    <col min="6395" max="6395" width="26" style="1658" customWidth="1"/>
    <col min="6396" max="6396" width="24.5703125" style="1658" customWidth="1"/>
    <col min="6397" max="6397" width="26.7109375" style="1658" customWidth="1"/>
    <col min="6398" max="6398" width="12.5703125" style="1658" customWidth="1"/>
    <col min="6399" max="6399" width="12" style="1658" customWidth="1"/>
    <col min="6400" max="6400" width="2.85546875" style="1658" customWidth="1"/>
    <col min="6401" max="6401" width="10.42578125" style="1658" customWidth="1"/>
    <col min="6402" max="6402" width="18" style="1658" customWidth="1"/>
    <col min="6403" max="6403" width="15.42578125" style="1658" customWidth="1"/>
    <col min="6404" max="6404" width="27.28515625" style="1658" customWidth="1"/>
    <col min="6405" max="6405" width="9.140625" style="1658"/>
    <col min="6406" max="6406" width="10.7109375" style="1658" customWidth="1"/>
    <col min="6407" max="6648" width="9.140625" style="1658"/>
    <col min="6649" max="6649" width="19.140625" style="1658" customWidth="1"/>
    <col min="6650" max="6650" width="12.5703125" style="1658" customWidth="1"/>
    <col min="6651" max="6651" width="26" style="1658" customWidth="1"/>
    <col min="6652" max="6652" width="24.5703125" style="1658" customWidth="1"/>
    <col min="6653" max="6653" width="26.7109375" style="1658" customWidth="1"/>
    <col min="6654" max="6654" width="12.5703125" style="1658" customWidth="1"/>
    <col min="6655" max="6655" width="12" style="1658" customWidth="1"/>
    <col min="6656" max="6656" width="2.85546875" style="1658" customWidth="1"/>
    <col min="6657" max="6657" width="10.42578125" style="1658" customWidth="1"/>
    <col min="6658" max="6658" width="18" style="1658" customWidth="1"/>
    <col min="6659" max="6659" width="15.42578125" style="1658" customWidth="1"/>
    <col min="6660" max="6660" width="27.28515625" style="1658" customWidth="1"/>
    <col min="6661" max="6661" width="9.140625" style="1658"/>
    <col min="6662" max="6662" width="10.7109375" style="1658" customWidth="1"/>
    <col min="6663" max="6904" width="9.140625" style="1658"/>
    <col min="6905" max="6905" width="19.140625" style="1658" customWidth="1"/>
    <col min="6906" max="6906" width="12.5703125" style="1658" customWidth="1"/>
    <col min="6907" max="6907" width="26" style="1658" customWidth="1"/>
    <col min="6908" max="6908" width="24.5703125" style="1658" customWidth="1"/>
    <col min="6909" max="6909" width="26.7109375" style="1658" customWidth="1"/>
    <col min="6910" max="6910" width="12.5703125" style="1658" customWidth="1"/>
    <col min="6911" max="6911" width="12" style="1658" customWidth="1"/>
    <col min="6912" max="6912" width="2.85546875" style="1658" customWidth="1"/>
    <col min="6913" max="6913" width="10.42578125" style="1658" customWidth="1"/>
    <col min="6914" max="6914" width="18" style="1658" customWidth="1"/>
    <col min="6915" max="6915" width="15.42578125" style="1658" customWidth="1"/>
    <col min="6916" max="6916" width="27.28515625" style="1658" customWidth="1"/>
    <col min="6917" max="6917" width="9.140625" style="1658"/>
    <col min="6918" max="6918" width="10.7109375" style="1658" customWidth="1"/>
    <col min="6919" max="7160" width="9.140625" style="1658"/>
    <col min="7161" max="7161" width="19.140625" style="1658" customWidth="1"/>
    <col min="7162" max="7162" width="12.5703125" style="1658" customWidth="1"/>
    <col min="7163" max="7163" width="26" style="1658" customWidth="1"/>
    <col min="7164" max="7164" width="24.5703125" style="1658" customWidth="1"/>
    <col min="7165" max="7165" width="26.7109375" style="1658" customWidth="1"/>
    <col min="7166" max="7166" width="12.5703125" style="1658" customWidth="1"/>
    <col min="7167" max="7167" width="12" style="1658" customWidth="1"/>
    <col min="7168" max="7168" width="2.85546875" style="1658" customWidth="1"/>
    <col min="7169" max="7169" width="10.42578125" style="1658" customWidth="1"/>
    <col min="7170" max="7170" width="18" style="1658" customWidth="1"/>
    <col min="7171" max="7171" width="15.42578125" style="1658" customWidth="1"/>
    <col min="7172" max="7172" width="27.28515625" style="1658" customWidth="1"/>
    <col min="7173" max="7173" width="9.140625" style="1658"/>
    <col min="7174" max="7174" width="10.7109375" style="1658" customWidth="1"/>
    <col min="7175" max="7416" width="9.140625" style="1658"/>
    <col min="7417" max="7417" width="19.140625" style="1658" customWidth="1"/>
    <col min="7418" max="7418" width="12.5703125" style="1658" customWidth="1"/>
    <col min="7419" max="7419" width="26" style="1658" customWidth="1"/>
    <col min="7420" max="7420" width="24.5703125" style="1658" customWidth="1"/>
    <col min="7421" max="7421" width="26.7109375" style="1658" customWidth="1"/>
    <col min="7422" max="7422" width="12.5703125" style="1658" customWidth="1"/>
    <col min="7423" max="7423" width="12" style="1658" customWidth="1"/>
    <col min="7424" max="7424" width="2.85546875" style="1658" customWidth="1"/>
    <col min="7425" max="7425" width="10.42578125" style="1658" customWidth="1"/>
    <col min="7426" max="7426" width="18" style="1658" customWidth="1"/>
    <col min="7427" max="7427" width="15.42578125" style="1658" customWidth="1"/>
    <col min="7428" max="7428" width="27.28515625" style="1658" customWidth="1"/>
    <col min="7429" max="7429" width="9.140625" style="1658"/>
    <col min="7430" max="7430" width="10.7109375" style="1658" customWidth="1"/>
    <col min="7431" max="7672" width="9.140625" style="1658"/>
    <col min="7673" max="7673" width="19.140625" style="1658" customWidth="1"/>
    <col min="7674" max="7674" width="12.5703125" style="1658" customWidth="1"/>
    <col min="7675" max="7675" width="26" style="1658" customWidth="1"/>
    <col min="7676" max="7676" width="24.5703125" style="1658" customWidth="1"/>
    <col min="7677" max="7677" width="26.7109375" style="1658" customWidth="1"/>
    <col min="7678" max="7678" width="12.5703125" style="1658" customWidth="1"/>
    <col min="7679" max="7679" width="12" style="1658" customWidth="1"/>
    <col min="7680" max="7680" width="2.85546875" style="1658" customWidth="1"/>
    <col min="7681" max="7681" width="10.42578125" style="1658" customWidth="1"/>
    <col min="7682" max="7682" width="18" style="1658" customWidth="1"/>
    <col min="7683" max="7683" width="15.42578125" style="1658" customWidth="1"/>
    <col min="7684" max="7684" width="27.28515625" style="1658" customWidth="1"/>
    <col min="7685" max="7685" width="9.140625" style="1658"/>
    <col min="7686" max="7686" width="10.7109375" style="1658" customWidth="1"/>
    <col min="7687" max="7928" width="9.140625" style="1658"/>
    <col min="7929" max="7929" width="19.140625" style="1658" customWidth="1"/>
    <col min="7930" max="7930" width="12.5703125" style="1658" customWidth="1"/>
    <col min="7931" max="7931" width="26" style="1658" customWidth="1"/>
    <col min="7932" max="7932" width="24.5703125" style="1658" customWidth="1"/>
    <col min="7933" max="7933" width="26.7109375" style="1658" customWidth="1"/>
    <col min="7934" max="7934" width="12.5703125" style="1658" customWidth="1"/>
    <col min="7935" max="7935" width="12" style="1658" customWidth="1"/>
    <col min="7936" max="7936" width="2.85546875" style="1658" customWidth="1"/>
    <col min="7937" max="7937" width="10.42578125" style="1658" customWidth="1"/>
    <col min="7938" max="7938" width="18" style="1658" customWidth="1"/>
    <col min="7939" max="7939" width="15.42578125" style="1658" customWidth="1"/>
    <col min="7940" max="7940" width="27.28515625" style="1658" customWidth="1"/>
    <col min="7941" max="7941" width="9.140625" style="1658"/>
    <col min="7942" max="7942" width="10.7109375" style="1658" customWidth="1"/>
    <col min="7943" max="8184" width="9.140625" style="1658"/>
    <col min="8185" max="8185" width="19.140625" style="1658" customWidth="1"/>
    <col min="8186" max="8186" width="12.5703125" style="1658" customWidth="1"/>
    <col min="8187" max="8187" width="26" style="1658" customWidth="1"/>
    <col min="8188" max="8188" width="24.5703125" style="1658" customWidth="1"/>
    <col min="8189" max="8189" width="26.7109375" style="1658" customWidth="1"/>
    <col min="8190" max="8190" width="12.5703125" style="1658" customWidth="1"/>
    <col min="8191" max="8191" width="12" style="1658" customWidth="1"/>
    <col min="8192" max="8192" width="2.85546875" style="1658" customWidth="1"/>
    <col min="8193" max="8193" width="10.42578125" style="1658" customWidth="1"/>
    <col min="8194" max="8194" width="18" style="1658" customWidth="1"/>
    <col min="8195" max="8195" width="15.42578125" style="1658" customWidth="1"/>
    <col min="8196" max="8196" width="27.28515625" style="1658" customWidth="1"/>
    <col min="8197" max="8197" width="9.140625" style="1658"/>
    <col min="8198" max="8198" width="10.7109375" style="1658" customWidth="1"/>
    <col min="8199" max="8440" width="9.140625" style="1658"/>
    <col min="8441" max="8441" width="19.140625" style="1658" customWidth="1"/>
    <col min="8442" max="8442" width="12.5703125" style="1658" customWidth="1"/>
    <col min="8443" max="8443" width="26" style="1658" customWidth="1"/>
    <col min="8444" max="8444" width="24.5703125" style="1658" customWidth="1"/>
    <col min="8445" max="8445" width="26.7109375" style="1658" customWidth="1"/>
    <col min="8446" max="8446" width="12.5703125" style="1658" customWidth="1"/>
    <col min="8447" max="8447" width="12" style="1658" customWidth="1"/>
    <col min="8448" max="8448" width="2.85546875" style="1658" customWidth="1"/>
    <col min="8449" max="8449" width="10.42578125" style="1658" customWidth="1"/>
    <col min="8450" max="8450" width="18" style="1658" customWidth="1"/>
    <col min="8451" max="8451" width="15.42578125" style="1658" customWidth="1"/>
    <col min="8452" max="8452" width="27.28515625" style="1658" customWidth="1"/>
    <col min="8453" max="8453" width="9.140625" style="1658"/>
    <col min="8454" max="8454" width="10.7109375" style="1658" customWidth="1"/>
    <col min="8455" max="8696" width="9.140625" style="1658"/>
    <col min="8697" max="8697" width="19.140625" style="1658" customWidth="1"/>
    <col min="8698" max="8698" width="12.5703125" style="1658" customWidth="1"/>
    <col min="8699" max="8699" width="26" style="1658" customWidth="1"/>
    <col min="8700" max="8700" width="24.5703125" style="1658" customWidth="1"/>
    <col min="8701" max="8701" width="26.7109375" style="1658" customWidth="1"/>
    <col min="8702" max="8702" width="12.5703125" style="1658" customWidth="1"/>
    <col min="8703" max="8703" width="12" style="1658" customWidth="1"/>
    <col min="8704" max="8704" width="2.85546875" style="1658" customWidth="1"/>
    <col min="8705" max="8705" width="10.42578125" style="1658" customWidth="1"/>
    <col min="8706" max="8706" width="18" style="1658" customWidth="1"/>
    <col min="8707" max="8707" width="15.42578125" style="1658" customWidth="1"/>
    <col min="8708" max="8708" width="27.28515625" style="1658" customWidth="1"/>
    <col min="8709" max="8709" width="9.140625" style="1658"/>
    <col min="8710" max="8710" width="10.7109375" style="1658" customWidth="1"/>
    <col min="8711" max="8952" width="9.140625" style="1658"/>
    <col min="8953" max="8953" width="19.140625" style="1658" customWidth="1"/>
    <col min="8954" max="8954" width="12.5703125" style="1658" customWidth="1"/>
    <col min="8955" max="8955" width="26" style="1658" customWidth="1"/>
    <col min="8956" max="8956" width="24.5703125" style="1658" customWidth="1"/>
    <col min="8957" max="8957" width="26.7109375" style="1658" customWidth="1"/>
    <col min="8958" max="8958" width="12.5703125" style="1658" customWidth="1"/>
    <col min="8959" max="8959" width="12" style="1658" customWidth="1"/>
    <col min="8960" max="8960" width="2.85546875" style="1658" customWidth="1"/>
    <col min="8961" max="8961" width="10.42578125" style="1658" customWidth="1"/>
    <col min="8962" max="8962" width="18" style="1658" customWidth="1"/>
    <col min="8963" max="8963" width="15.42578125" style="1658" customWidth="1"/>
    <col min="8964" max="8964" width="27.28515625" style="1658" customWidth="1"/>
    <col min="8965" max="8965" width="9.140625" style="1658"/>
    <col min="8966" max="8966" width="10.7109375" style="1658" customWidth="1"/>
    <col min="8967" max="9208" width="9.140625" style="1658"/>
    <col min="9209" max="9209" width="19.140625" style="1658" customWidth="1"/>
    <col min="9210" max="9210" width="12.5703125" style="1658" customWidth="1"/>
    <col min="9211" max="9211" width="26" style="1658" customWidth="1"/>
    <col min="9212" max="9212" width="24.5703125" style="1658" customWidth="1"/>
    <col min="9213" max="9213" width="26.7109375" style="1658" customWidth="1"/>
    <col min="9214" max="9214" width="12.5703125" style="1658" customWidth="1"/>
    <col min="9215" max="9215" width="12" style="1658" customWidth="1"/>
    <col min="9216" max="9216" width="2.85546875" style="1658" customWidth="1"/>
    <col min="9217" max="9217" width="10.42578125" style="1658" customWidth="1"/>
    <col min="9218" max="9218" width="18" style="1658" customWidth="1"/>
    <col min="9219" max="9219" width="15.42578125" style="1658" customWidth="1"/>
    <col min="9220" max="9220" width="27.28515625" style="1658" customWidth="1"/>
    <col min="9221" max="9221" width="9.140625" style="1658"/>
    <col min="9222" max="9222" width="10.7109375" style="1658" customWidth="1"/>
    <col min="9223" max="9464" width="9.140625" style="1658"/>
    <col min="9465" max="9465" width="19.140625" style="1658" customWidth="1"/>
    <col min="9466" max="9466" width="12.5703125" style="1658" customWidth="1"/>
    <col min="9467" max="9467" width="26" style="1658" customWidth="1"/>
    <col min="9468" max="9468" width="24.5703125" style="1658" customWidth="1"/>
    <col min="9469" max="9469" width="26.7109375" style="1658" customWidth="1"/>
    <col min="9470" max="9470" width="12.5703125" style="1658" customWidth="1"/>
    <col min="9471" max="9471" width="12" style="1658" customWidth="1"/>
    <col min="9472" max="9472" width="2.85546875" style="1658" customWidth="1"/>
    <col min="9473" max="9473" width="10.42578125" style="1658" customWidth="1"/>
    <col min="9474" max="9474" width="18" style="1658" customWidth="1"/>
    <col min="9475" max="9475" width="15.42578125" style="1658" customWidth="1"/>
    <col min="9476" max="9476" width="27.28515625" style="1658" customWidth="1"/>
    <col min="9477" max="9477" width="9.140625" style="1658"/>
    <col min="9478" max="9478" width="10.7109375" style="1658" customWidth="1"/>
    <col min="9479" max="9720" width="9.140625" style="1658"/>
    <col min="9721" max="9721" width="19.140625" style="1658" customWidth="1"/>
    <col min="9722" max="9722" width="12.5703125" style="1658" customWidth="1"/>
    <col min="9723" max="9723" width="26" style="1658" customWidth="1"/>
    <col min="9724" max="9724" width="24.5703125" style="1658" customWidth="1"/>
    <col min="9725" max="9725" width="26.7109375" style="1658" customWidth="1"/>
    <col min="9726" max="9726" width="12.5703125" style="1658" customWidth="1"/>
    <col min="9727" max="9727" width="12" style="1658" customWidth="1"/>
    <col min="9728" max="9728" width="2.85546875" style="1658" customWidth="1"/>
    <col min="9729" max="9729" width="10.42578125" style="1658" customWidth="1"/>
    <col min="9730" max="9730" width="18" style="1658" customWidth="1"/>
    <col min="9731" max="9731" width="15.42578125" style="1658" customWidth="1"/>
    <col min="9732" max="9732" width="27.28515625" style="1658" customWidth="1"/>
    <col min="9733" max="9733" width="9.140625" style="1658"/>
    <col min="9734" max="9734" width="10.7109375" style="1658" customWidth="1"/>
    <col min="9735" max="9976" width="9.140625" style="1658"/>
    <col min="9977" max="9977" width="19.140625" style="1658" customWidth="1"/>
    <col min="9978" max="9978" width="12.5703125" style="1658" customWidth="1"/>
    <col min="9979" max="9979" width="26" style="1658" customWidth="1"/>
    <col min="9980" max="9980" width="24.5703125" style="1658" customWidth="1"/>
    <col min="9981" max="9981" width="26.7109375" style="1658" customWidth="1"/>
    <col min="9982" max="9982" width="12.5703125" style="1658" customWidth="1"/>
    <col min="9983" max="9983" width="12" style="1658" customWidth="1"/>
    <col min="9984" max="9984" width="2.85546875" style="1658" customWidth="1"/>
    <col min="9985" max="9985" width="10.42578125" style="1658" customWidth="1"/>
    <col min="9986" max="9986" width="18" style="1658" customWidth="1"/>
    <col min="9987" max="9987" width="15.42578125" style="1658" customWidth="1"/>
    <col min="9988" max="9988" width="27.28515625" style="1658" customWidth="1"/>
    <col min="9989" max="9989" width="9.140625" style="1658"/>
    <col min="9990" max="9990" width="10.7109375" style="1658" customWidth="1"/>
    <col min="9991" max="10232" width="9.140625" style="1658"/>
    <col min="10233" max="10233" width="19.140625" style="1658" customWidth="1"/>
    <col min="10234" max="10234" width="12.5703125" style="1658" customWidth="1"/>
    <col min="10235" max="10235" width="26" style="1658" customWidth="1"/>
    <col min="10236" max="10236" width="24.5703125" style="1658" customWidth="1"/>
    <col min="10237" max="10237" width="26.7109375" style="1658" customWidth="1"/>
    <col min="10238" max="10238" width="12.5703125" style="1658" customWidth="1"/>
    <col min="10239" max="10239" width="12" style="1658" customWidth="1"/>
    <col min="10240" max="10240" width="2.85546875" style="1658" customWidth="1"/>
    <col min="10241" max="10241" width="10.42578125" style="1658" customWidth="1"/>
    <col min="10242" max="10242" width="18" style="1658" customWidth="1"/>
    <col min="10243" max="10243" width="15.42578125" style="1658" customWidth="1"/>
    <col min="10244" max="10244" width="27.28515625" style="1658" customWidth="1"/>
    <col min="10245" max="10245" width="9.140625" style="1658"/>
    <col min="10246" max="10246" width="10.7109375" style="1658" customWidth="1"/>
    <col min="10247" max="10488" width="9.140625" style="1658"/>
    <col min="10489" max="10489" width="19.140625" style="1658" customWidth="1"/>
    <col min="10490" max="10490" width="12.5703125" style="1658" customWidth="1"/>
    <col min="10491" max="10491" width="26" style="1658" customWidth="1"/>
    <col min="10492" max="10492" width="24.5703125" style="1658" customWidth="1"/>
    <col min="10493" max="10493" width="26.7109375" style="1658" customWidth="1"/>
    <col min="10494" max="10494" width="12.5703125" style="1658" customWidth="1"/>
    <col min="10495" max="10495" width="12" style="1658" customWidth="1"/>
    <col min="10496" max="10496" width="2.85546875" style="1658" customWidth="1"/>
    <col min="10497" max="10497" width="10.42578125" style="1658" customWidth="1"/>
    <col min="10498" max="10498" width="18" style="1658" customWidth="1"/>
    <col min="10499" max="10499" width="15.42578125" style="1658" customWidth="1"/>
    <col min="10500" max="10500" width="27.28515625" style="1658" customWidth="1"/>
    <col min="10501" max="10501" width="9.140625" style="1658"/>
    <col min="10502" max="10502" width="10.7109375" style="1658" customWidth="1"/>
    <col min="10503" max="10744" width="9.140625" style="1658"/>
    <col min="10745" max="10745" width="19.140625" style="1658" customWidth="1"/>
    <col min="10746" max="10746" width="12.5703125" style="1658" customWidth="1"/>
    <col min="10747" max="10747" width="26" style="1658" customWidth="1"/>
    <col min="10748" max="10748" width="24.5703125" style="1658" customWidth="1"/>
    <col min="10749" max="10749" width="26.7109375" style="1658" customWidth="1"/>
    <col min="10750" max="10750" width="12.5703125" style="1658" customWidth="1"/>
    <col min="10751" max="10751" width="12" style="1658" customWidth="1"/>
    <col min="10752" max="10752" width="2.85546875" style="1658" customWidth="1"/>
    <col min="10753" max="10753" width="10.42578125" style="1658" customWidth="1"/>
    <col min="10754" max="10754" width="18" style="1658" customWidth="1"/>
    <col min="10755" max="10755" width="15.42578125" style="1658" customWidth="1"/>
    <col min="10756" max="10756" width="27.28515625" style="1658" customWidth="1"/>
    <col min="10757" max="10757" width="9.140625" style="1658"/>
    <col min="10758" max="10758" width="10.7109375" style="1658" customWidth="1"/>
    <col min="10759" max="11000" width="9.140625" style="1658"/>
    <col min="11001" max="11001" width="19.140625" style="1658" customWidth="1"/>
    <col min="11002" max="11002" width="12.5703125" style="1658" customWidth="1"/>
    <col min="11003" max="11003" width="26" style="1658" customWidth="1"/>
    <col min="11004" max="11004" width="24.5703125" style="1658" customWidth="1"/>
    <col min="11005" max="11005" width="26.7109375" style="1658" customWidth="1"/>
    <col min="11006" max="11006" width="12.5703125" style="1658" customWidth="1"/>
    <col min="11007" max="11007" width="12" style="1658" customWidth="1"/>
    <col min="11008" max="11008" width="2.85546875" style="1658" customWidth="1"/>
    <col min="11009" max="11009" width="10.42578125" style="1658" customWidth="1"/>
    <col min="11010" max="11010" width="18" style="1658" customWidth="1"/>
    <col min="11011" max="11011" width="15.42578125" style="1658" customWidth="1"/>
    <col min="11012" max="11012" width="27.28515625" style="1658" customWidth="1"/>
    <col min="11013" max="11013" width="9.140625" style="1658"/>
    <col min="11014" max="11014" width="10.7109375" style="1658" customWidth="1"/>
    <col min="11015" max="11256" width="9.140625" style="1658"/>
    <col min="11257" max="11257" width="19.140625" style="1658" customWidth="1"/>
    <col min="11258" max="11258" width="12.5703125" style="1658" customWidth="1"/>
    <col min="11259" max="11259" width="26" style="1658" customWidth="1"/>
    <col min="11260" max="11260" width="24.5703125" style="1658" customWidth="1"/>
    <col min="11261" max="11261" width="26.7109375" style="1658" customWidth="1"/>
    <col min="11262" max="11262" width="12.5703125" style="1658" customWidth="1"/>
    <col min="11263" max="11263" width="12" style="1658" customWidth="1"/>
    <col min="11264" max="11264" width="2.85546875" style="1658" customWidth="1"/>
    <col min="11265" max="11265" width="10.42578125" style="1658" customWidth="1"/>
    <col min="11266" max="11266" width="18" style="1658" customWidth="1"/>
    <col min="11267" max="11267" width="15.42578125" style="1658" customWidth="1"/>
    <col min="11268" max="11268" width="27.28515625" style="1658" customWidth="1"/>
    <col min="11269" max="11269" width="9.140625" style="1658"/>
    <col min="11270" max="11270" width="10.7109375" style="1658" customWidth="1"/>
    <col min="11271" max="11512" width="9.140625" style="1658"/>
    <col min="11513" max="11513" width="19.140625" style="1658" customWidth="1"/>
    <col min="11514" max="11514" width="12.5703125" style="1658" customWidth="1"/>
    <col min="11515" max="11515" width="26" style="1658" customWidth="1"/>
    <col min="11516" max="11516" width="24.5703125" style="1658" customWidth="1"/>
    <col min="11517" max="11517" width="26.7109375" style="1658" customWidth="1"/>
    <col min="11518" max="11518" width="12.5703125" style="1658" customWidth="1"/>
    <col min="11519" max="11519" width="12" style="1658" customWidth="1"/>
    <col min="11520" max="11520" width="2.85546875" style="1658" customWidth="1"/>
    <col min="11521" max="11521" width="10.42578125" style="1658" customWidth="1"/>
    <col min="11522" max="11522" width="18" style="1658" customWidth="1"/>
    <col min="11523" max="11523" width="15.42578125" style="1658" customWidth="1"/>
    <col min="11524" max="11524" width="27.28515625" style="1658" customWidth="1"/>
    <col min="11525" max="11525" width="9.140625" style="1658"/>
    <col min="11526" max="11526" width="10.7109375" style="1658" customWidth="1"/>
    <col min="11527" max="11768" width="9.140625" style="1658"/>
    <col min="11769" max="11769" width="19.140625" style="1658" customWidth="1"/>
    <col min="11770" max="11770" width="12.5703125" style="1658" customWidth="1"/>
    <col min="11771" max="11771" width="26" style="1658" customWidth="1"/>
    <col min="11772" max="11772" width="24.5703125" style="1658" customWidth="1"/>
    <col min="11773" max="11773" width="26.7109375" style="1658" customWidth="1"/>
    <col min="11774" max="11774" width="12.5703125" style="1658" customWidth="1"/>
    <col min="11775" max="11775" width="12" style="1658" customWidth="1"/>
    <col min="11776" max="11776" width="2.85546875" style="1658" customWidth="1"/>
    <col min="11777" max="11777" width="10.42578125" style="1658" customWidth="1"/>
    <col min="11778" max="11778" width="18" style="1658" customWidth="1"/>
    <col min="11779" max="11779" width="15.42578125" style="1658" customWidth="1"/>
    <col min="11780" max="11780" width="27.28515625" style="1658" customWidth="1"/>
    <col min="11781" max="11781" width="9.140625" style="1658"/>
    <col min="11782" max="11782" width="10.7109375" style="1658" customWidth="1"/>
    <col min="11783" max="12024" width="9.140625" style="1658"/>
    <col min="12025" max="12025" width="19.140625" style="1658" customWidth="1"/>
    <col min="12026" max="12026" width="12.5703125" style="1658" customWidth="1"/>
    <col min="12027" max="12027" width="26" style="1658" customWidth="1"/>
    <col min="12028" max="12028" width="24.5703125" style="1658" customWidth="1"/>
    <col min="12029" max="12029" width="26.7109375" style="1658" customWidth="1"/>
    <col min="12030" max="12030" width="12.5703125" style="1658" customWidth="1"/>
    <col min="12031" max="12031" width="12" style="1658" customWidth="1"/>
    <col min="12032" max="12032" width="2.85546875" style="1658" customWidth="1"/>
    <col min="12033" max="12033" width="10.42578125" style="1658" customWidth="1"/>
    <col min="12034" max="12034" width="18" style="1658" customWidth="1"/>
    <col min="12035" max="12035" width="15.42578125" style="1658" customWidth="1"/>
    <col min="12036" max="12036" width="27.28515625" style="1658" customWidth="1"/>
    <col min="12037" max="12037" width="9.140625" style="1658"/>
    <col min="12038" max="12038" width="10.7109375" style="1658" customWidth="1"/>
    <col min="12039" max="12280" width="9.140625" style="1658"/>
    <col min="12281" max="12281" width="19.140625" style="1658" customWidth="1"/>
    <col min="12282" max="12282" width="12.5703125" style="1658" customWidth="1"/>
    <col min="12283" max="12283" width="26" style="1658" customWidth="1"/>
    <col min="12284" max="12284" width="24.5703125" style="1658" customWidth="1"/>
    <col min="12285" max="12285" width="26.7109375" style="1658" customWidth="1"/>
    <col min="12286" max="12286" width="12.5703125" style="1658" customWidth="1"/>
    <col min="12287" max="12287" width="12" style="1658" customWidth="1"/>
    <col min="12288" max="12288" width="2.85546875" style="1658" customWidth="1"/>
    <col min="12289" max="12289" width="10.42578125" style="1658" customWidth="1"/>
    <col min="12290" max="12290" width="18" style="1658" customWidth="1"/>
    <col min="12291" max="12291" width="15.42578125" style="1658" customWidth="1"/>
    <col min="12292" max="12292" width="27.28515625" style="1658" customWidth="1"/>
    <col min="12293" max="12293" width="9.140625" style="1658"/>
    <col min="12294" max="12294" width="10.7109375" style="1658" customWidth="1"/>
    <col min="12295" max="12536" width="9.140625" style="1658"/>
    <col min="12537" max="12537" width="19.140625" style="1658" customWidth="1"/>
    <col min="12538" max="12538" width="12.5703125" style="1658" customWidth="1"/>
    <col min="12539" max="12539" width="26" style="1658" customWidth="1"/>
    <col min="12540" max="12540" width="24.5703125" style="1658" customWidth="1"/>
    <col min="12541" max="12541" width="26.7109375" style="1658" customWidth="1"/>
    <col min="12542" max="12542" width="12.5703125" style="1658" customWidth="1"/>
    <col min="12543" max="12543" width="12" style="1658" customWidth="1"/>
    <col min="12544" max="12544" width="2.85546875" style="1658" customWidth="1"/>
    <col min="12545" max="12545" width="10.42578125" style="1658" customWidth="1"/>
    <col min="12546" max="12546" width="18" style="1658" customWidth="1"/>
    <col min="12547" max="12547" width="15.42578125" style="1658" customWidth="1"/>
    <col min="12548" max="12548" width="27.28515625" style="1658" customWidth="1"/>
    <col min="12549" max="12549" width="9.140625" style="1658"/>
    <col min="12550" max="12550" width="10.7109375" style="1658" customWidth="1"/>
    <col min="12551" max="12792" width="9.140625" style="1658"/>
    <col min="12793" max="12793" width="19.140625" style="1658" customWidth="1"/>
    <col min="12794" max="12794" width="12.5703125" style="1658" customWidth="1"/>
    <col min="12795" max="12795" width="26" style="1658" customWidth="1"/>
    <col min="12796" max="12796" width="24.5703125" style="1658" customWidth="1"/>
    <col min="12797" max="12797" width="26.7109375" style="1658" customWidth="1"/>
    <col min="12798" max="12798" width="12.5703125" style="1658" customWidth="1"/>
    <col min="12799" max="12799" width="12" style="1658" customWidth="1"/>
    <col min="12800" max="12800" width="2.85546875" style="1658" customWidth="1"/>
    <col min="12801" max="12801" width="10.42578125" style="1658" customWidth="1"/>
    <col min="12802" max="12802" width="18" style="1658" customWidth="1"/>
    <col min="12803" max="12803" width="15.42578125" style="1658" customWidth="1"/>
    <col min="12804" max="12804" width="27.28515625" style="1658" customWidth="1"/>
    <col min="12805" max="12805" width="9.140625" style="1658"/>
    <col min="12806" max="12806" width="10.7109375" style="1658" customWidth="1"/>
    <col min="12807" max="13048" width="9.140625" style="1658"/>
    <col min="13049" max="13049" width="19.140625" style="1658" customWidth="1"/>
    <col min="13050" max="13050" width="12.5703125" style="1658" customWidth="1"/>
    <col min="13051" max="13051" width="26" style="1658" customWidth="1"/>
    <col min="13052" max="13052" width="24.5703125" style="1658" customWidth="1"/>
    <col min="13053" max="13053" width="26.7109375" style="1658" customWidth="1"/>
    <col min="13054" max="13054" width="12.5703125" style="1658" customWidth="1"/>
    <col min="13055" max="13055" width="12" style="1658" customWidth="1"/>
    <col min="13056" max="13056" width="2.85546875" style="1658" customWidth="1"/>
    <col min="13057" max="13057" width="10.42578125" style="1658" customWidth="1"/>
    <col min="13058" max="13058" width="18" style="1658" customWidth="1"/>
    <col min="13059" max="13059" width="15.42578125" style="1658" customWidth="1"/>
    <col min="13060" max="13060" width="27.28515625" style="1658" customWidth="1"/>
    <col min="13061" max="13061" width="9.140625" style="1658"/>
    <col min="13062" max="13062" width="10.7109375" style="1658" customWidth="1"/>
    <col min="13063" max="13304" width="9.140625" style="1658"/>
    <col min="13305" max="13305" width="19.140625" style="1658" customWidth="1"/>
    <col min="13306" max="13306" width="12.5703125" style="1658" customWidth="1"/>
    <col min="13307" max="13307" width="26" style="1658" customWidth="1"/>
    <col min="13308" max="13308" width="24.5703125" style="1658" customWidth="1"/>
    <col min="13309" max="13309" width="26.7109375" style="1658" customWidth="1"/>
    <col min="13310" max="13310" width="12.5703125" style="1658" customWidth="1"/>
    <col min="13311" max="13311" width="12" style="1658" customWidth="1"/>
    <col min="13312" max="13312" width="2.85546875" style="1658" customWidth="1"/>
    <col min="13313" max="13313" width="10.42578125" style="1658" customWidth="1"/>
    <col min="13314" max="13314" width="18" style="1658" customWidth="1"/>
    <col min="13315" max="13315" width="15.42578125" style="1658" customWidth="1"/>
    <col min="13316" max="13316" width="27.28515625" style="1658" customWidth="1"/>
    <col min="13317" max="13317" width="9.140625" style="1658"/>
    <col min="13318" max="13318" width="10.7109375" style="1658" customWidth="1"/>
    <col min="13319" max="13560" width="9.140625" style="1658"/>
    <col min="13561" max="13561" width="19.140625" style="1658" customWidth="1"/>
    <col min="13562" max="13562" width="12.5703125" style="1658" customWidth="1"/>
    <col min="13563" max="13563" width="26" style="1658" customWidth="1"/>
    <col min="13564" max="13564" width="24.5703125" style="1658" customWidth="1"/>
    <col min="13565" max="13565" width="26.7109375" style="1658" customWidth="1"/>
    <col min="13566" max="13566" width="12.5703125" style="1658" customWidth="1"/>
    <col min="13567" max="13567" width="12" style="1658" customWidth="1"/>
    <col min="13568" max="13568" width="2.85546875" style="1658" customWidth="1"/>
    <col min="13569" max="13569" width="10.42578125" style="1658" customWidth="1"/>
    <col min="13570" max="13570" width="18" style="1658" customWidth="1"/>
    <col min="13571" max="13571" width="15.42578125" style="1658" customWidth="1"/>
    <col min="13572" max="13572" width="27.28515625" style="1658" customWidth="1"/>
    <col min="13573" max="13573" width="9.140625" style="1658"/>
    <col min="13574" max="13574" width="10.7109375" style="1658" customWidth="1"/>
    <col min="13575" max="13816" width="9.140625" style="1658"/>
    <col min="13817" max="13817" width="19.140625" style="1658" customWidth="1"/>
    <col min="13818" max="13818" width="12.5703125" style="1658" customWidth="1"/>
    <col min="13819" max="13819" width="26" style="1658" customWidth="1"/>
    <col min="13820" max="13820" width="24.5703125" style="1658" customWidth="1"/>
    <col min="13821" max="13821" width="26.7109375" style="1658" customWidth="1"/>
    <col min="13822" max="13822" width="12.5703125" style="1658" customWidth="1"/>
    <col min="13823" max="13823" width="12" style="1658" customWidth="1"/>
    <col min="13824" max="13824" width="2.85546875" style="1658" customWidth="1"/>
    <col min="13825" max="13825" width="10.42578125" style="1658" customWidth="1"/>
    <col min="13826" max="13826" width="18" style="1658" customWidth="1"/>
    <col min="13827" max="13827" width="15.42578125" style="1658" customWidth="1"/>
    <col min="13828" max="13828" width="27.28515625" style="1658" customWidth="1"/>
    <col min="13829" max="13829" width="9.140625" style="1658"/>
    <col min="13830" max="13830" width="10.7109375" style="1658" customWidth="1"/>
    <col min="13831" max="14072" width="9.140625" style="1658"/>
    <col min="14073" max="14073" width="19.140625" style="1658" customWidth="1"/>
    <col min="14074" max="14074" width="12.5703125" style="1658" customWidth="1"/>
    <col min="14075" max="14075" width="26" style="1658" customWidth="1"/>
    <col min="14076" max="14076" width="24.5703125" style="1658" customWidth="1"/>
    <col min="14077" max="14077" width="26.7109375" style="1658" customWidth="1"/>
    <col min="14078" max="14078" width="12.5703125" style="1658" customWidth="1"/>
    <col min="14079" max="14079" width="12" style="1658" customWidth="1"/>
    <col min="14080" max="14080" width="2.85546875" style="1658" customWidth="1"/>
    <col min="14081" max="14081" width="10.42578125" style="1658" customWidth="1"/>
    <col min="14082" max="14082" width="18" style="1658" customWidth="1"/>
    <col min="14083" max="14083" width="15.42578125" style="1658" customWidth="1"/>
    <col min="14084" max="14084" width="27.28515625" style="1658" customWidth="1"/>
    <col min="14085" max="14085" width="9.140625" style="1658"/>
    <col min="14086" max="14086" width="10.7109375" style="1658" customWidth="1"/>
    <col min="14087" max="14328" width="9.140625" style="1658"/>
    <col min="14329" max="14329" width="19.140625" style="1658" customWidth="1"/>
    <col min="14330" max="14330" width="12.5703125" style="1658" customWidth="1"/>
    <col min="14331" max="14331" width="26" style="1658" customWidth="1"/>
    <col min="14332" max="14332" width="24.5703125" style="1658" customWidth="1"/>
    <col min="14333" max="14333" width="26.7109375" style="1658" customWidth="1"/>
    <col min="14334" max="14334" width="12.5703125" style="1658" customWidth="1"/>
    <col min="14335" max="14335" width="12" style="1658" customWidth="1"/>
    <col min="14336" max="14336" width="2.85546875" style="1658" customWidth="1"/>
    <col min="14337" max="14337" width="10.42578125" style="1658" customWidth="1"/>
    <col min="14338" max="14338" width="18" style="1658" customWidth="1"/>
    <col min="14339" max="14339" width="15.42578125" style="1658" customWidth="1"/>
    <col min="14340" max="14340" width="27.28515625" style="1658" customWidth="1"/>
    <col min="14341" max="14341" width="9.140625" style="1658"/>
    <col min="14342" max="14342" width="10.7109375" style="1658" customWidth="1"/>
    <col min="14343" max="14584" width="9.140625" style="1658"/>
    <col min="14585" max="14585" width="19.140625" style="1658" customWidth="1"/>
    <col min="14586" max="14586" width="12.5703125" style="1658" customWidth="1"/>
    <col min="14587" max="14587" width="26" style="1658" customWidth="1"/>
    <col min="14588" max="14588" width="24.5703125" style="1658" customWidth="1"/>
    <col min="14589" max="14589" width="26.7109375" style="1658" customWidth="1"/>
    <col min="14590" max="14590" width="12.5703125" style="1658" customWidth="1"/>
    <col min="14591" max="14591" width="12" style="1658" customWidth="1"/>
    <col min="14592" max="14592" width="2.85546875" style="1658" customWidth="1"/>
    <col min="14593" max="14593" width="10.42578125" style="1658" customWidth="1"/>
    <col min="14594" max="14594" width="18" style="1658" customWidth="1"/>
    <col min="14595" max="14595" width="15.42578125" style="1658" customWidth="1"/>
    <col min="14596" max="14596" width="27.28515625" style="1658" customWidth="1"/>
    <col min="14597" max="14597" width="9.140625" style="1658"/>
    <col min="14598" max="14598" width="10.7109375" style="1658" customWidth="1"/>
    <col min="14599" max="14840" width="9.140625" style="1658"/>
    <col min="14841" max="14841" width="19.140625" style="1658" customWidth="1"/>
    <col min="14842" max="14842" width="12.5703125" style="1658" customWidth="1"/>
    <col min="14843" max="14843" width="26" style="1658" customWidth="1"/>
    <col min="14844" max="14844" width="24.5703125" style="1658" customWidth="1"/>
    <col min="14845" max="14845" width="26.7109375" style="1658" customWidth="1"/>
    <col min="14846" max="14846" width="12.5703125" style="1658" customWidth="1"/>
    <col min="14847" max="14847" width="12" style="1658" customWidth="1"/>
    <col min="14848" max="14848" width="2.85546875" style="1658" customWidth="1"/>
    <col min="14849" max="14849" width="10.42578125" style="1658" customWidth="1"/>
    <col min="14850" max="14850" width="18" style="1658" customWidth="1"/>
    <col min="14851" max="14851" width="15.42578125" style="1658" customWidth="1"/>
    <col min="14852" max="14852" width="27.28515625" style="1658" customWidth="1"/>
    <col min="14853" max="14853" width="9.140625" style="1658"/>
    <col min="14854" max="14854" width="10.7109375" style="1658" customWidth="1"/>
    <col min="14855" max="15096" width="9.140625" style="1658"/>
    <col min="15097" max="15097" width="19.140625" style="1658" customWidth="1"/>
    <col min="15098" max="15098" width="12.5703125" style="1658" customWidth="1"/>
    <col min="15099" max="15099" width="26" style="1658" customWidth="1"/>
    <col min="15100" max="15100" width="24.5703125" style="1658" customWidth="1"/>
    <col min="15101" max="15101" width="26.7109375" style="1658" customWidth="1"/>
    <col min="15102" max="15102" width="12.5703125" style="1658" customWidth="1"/>
    <col min="15103" max="15103" width="12" style="1658" customWidth="1"/>
    <col min="15104" max="15104" width="2.85546875" style="1658" customWidth="1"/>
    <col min="15105" max="15105" width="10.42578125" style="1658" customWidth="1"/>
    <col min="15106" max="15106" width="18" style="1658" customWidth="1"/>
    <col min="15107" max="15107" width="15.42578125" style="1658" customWidth="1"/>
    <col min="15108" max="15108" width="27.28515625" style="1658" customWidth="1"/>
    <col min="15109" max="15109" width="9.140625" style="1658"/>
    <col min="15110" max="15110" width="10.7109375" style="1658" customWidth="1"/>
    <col min="15111" max="15352" width="9.140625" style="1658"/>
    <col min="15353" max="15353" width="19.140625" style="1658" customWidth="1"/>
    <col min="15354" max="15354" width="12.5703125" style="1658" customWidth="1"/>
    <col min="15355" max="15355" width="26" style="1658" customWidth="1"/>
    <col min="15356" max="15356" width="24.5703125" style="1658" customWidth="1"/>
    <col min="15357" max="15357" width="26.7109375" style="1658" customWidth="1"/>
    <col min="15358" max="15358" width="12.5703125" style="1658" customWidth="1"/>
    <col min="15359" max="15359" width="12" style="1658" customWidth="1"/>
    <col min="15360" max="15360" width="2.85546875" style="1658" customWidth="1"/>
    <col min="15361" max="15361" width="10.42578125" style="1658" customWidth="1"/>
    <col min="15362" max="15362" width="18" style="1658" customWidth="1"/>
    <col min="15363" max="15363" width="15.42578125" style="1658" customWidth="1"/>
    <col min="15364" max="15364" width="27.28515625" style="1658" customWidth="1"/>
    <col min="15365" max="15365" width="9.140625" style="1658"/>
    <col min="15366" max="15366" width="10.7109375" style="1658" customWidth="1"/>
    <col min="15367" max="15608" width="9.140625" style="1658"/>
    <col min="15609" max="15609" width="19.140625" style="1658" customWidth="1"/>
    <col min="15610" max="15610" width="12.5703125" style="1658" customWidth="1"/>
    <col min="15611" max="15611" width="26" style="1658" customWidth="1"/>
    <col min="15612" max="15612" width="24.5703125" style="1658" customWidth="1"/>
    <col min="15613" max="15613" width="26.7109375" style="1658" customWidth="1"/>
    <col min="15614" max="15614" width="12.5703125" style="1658" customWidth="1"/>
    <col min="15615" max="15615" width="12" style="1658" customWidth="1"/>
    <col min="15616" max="15616" width="2.85546875" style="1658" customWidth="1"/>
    <col min="15617" max="15617" width="10.42578125" style="1658" customWidth="1"/>
    <col min="15618" max="15618" width="18" style="1658" customWidth="1"/>
    <col min="15619" max="15619" width="15.42578125" style="1658" customWidth="1"/>
    <col min="15620" max="15620" width="27.28515625" style="1658" customWidth="1"/>
    <col min="15621" max="15621" width="9.140625" style="1658"/>
    <col min="15622" max="15622" width="10.7109375" style="1658" customWidth="1"/>
    <col min="15623" max="15864" width="9.140625" style="1658"/>
    <col min="15865" max="15865" width="19.140625" style="1658" customWidth="1"/>
    <col min="15866" max="15866" width="12.5703125" style="1658" customWidth="1"/>
    <col min="15867" max="15867" width="26" style="1658" customWidth="1"/>
    <col min="15868" max="15868" width="24.5703125" style="1658" customWidth="1"/>
    <col min="15869" max="15869" width="26.7109375" style="1658" customWidth="1"/>
    <col min="15870" max="15870" width="12.5703125" style="1658" customWidth="1"/>
    <col min="15871" max="15871" width="12" style="1658" customWidth="1"/>
    <col min="15872" max="15872" width="2.85546875" style="1658" customWidth="1"/>
    <col min="15873" max="15873" width="10.42578125" style="1658" customWidth="1"/>
    <col min="15874" max="15874" width="18" style="1658" customWidth="1"/>
    <col min="15875" max="15875" width="15.42578125" style="1658" customWidth="1"/>
    <col min="15876" max="15876" width="27.28515625" style="1658" customWidth="1"/>
    <col min="15877" max="15877" width="9.140625" style="1658"/>
    <col min="15878" max="15878" width="10.7109375" style="1658" customWidth="1"/>
    <col min="15879" max="16120" width="9.140625" style="1658"/>
    <col min="16121" max="16121" width="19.140625" style="1658" customWidth="1"/>
    <col min="16122" max="16122" width="12.5703125" style="1658" customWidth="1"/>
    <col min="16123" max="16123" width="26" style="1658" customWidth="1"/>
    <col min="16124" max="16124" width="24.5703125" style="1658" customWidth="1"/>
    <col min="16125" max="16125" width="26.7109375" style="1658" customWidth="1"/>
    <col min="16126" max="16126" width="12.5703125" style="1658" customWidth="1"/>
    <col min="16127" max="16127" width="12" style="1658" customWidth="1"/>
    <col min="16128" max="16128" width="2.85546875" style="1658" customWidth="1"/>
    <col min="16129" max="16129" width="10.42578125" style="1658" customWidth="1"/>
    <col min="16130" max="16130" width="18" style="1658" customWidth="1"/>
    <col min="16131" max="16131" width="15.42578125" style="1658" customWidth="1"/>
    <col min="16132" max="16132" width="27.28515625" style="1658" customWidth="1"/>
    <col min="16133" max="16133" width="9.140625" style="1658"/>
    <col min="16134" max="16134" width="10.7109375" style="1658" customWidth="1"/>
    <col min="16135" max="16384" width="9.140625" style="1658"/>
  </cols>
  <sheetData>
    <row r="1" spans="1:7" ht="14.25" x14ac:dyDescent="0.2">
      <c r="A1" s="2241"/>
      <c r="B1" s="2241"/>
      <c r="C1" s="2241"/>
    </row>
    <row r="2" spans="1:7" ht="15.75" x14ac:dyDescent="0.25">
      <c r="A2" s="2243"/>
      <c r="B2" s="2244"/>
      <c r="C2" s="2241"/>
    </row>
    <row r="3" spans="1:7" ht="16.5" customHeight="1" x14ac:dyDescent="0.2">
      <c r="A3" s="2241"/>
      <c r="B3" s="2241"/>
      <c r="C3" s="2241"/>
      <c r="D3" s="2241"/>
      <c r="E3" s="2241"/>
      <c r="F3" s="2244"/>
      <c r="G3" s="2244"/>
    </row>
    <row r="4" spans="1:7" ht="18.75" customHeight="1" thickBot="1" x14ac:dyDescent="0.3">
      <c r="B4" s="4709" t="s">
        <v>1496</v>
      </c>
      <c r="C4" s="4709"/>
      <c r="D4" s="4709"/>
      <c r="E4" s="4709"/>
      <c r="F4" s="4709"/>
      <c r="G4" s="4709"/>
    </row>
    <row r="5" spans="1:7" ht="12.75" x14ac:dyDescent="0.2">
      <c r="E5" s="2242"/>
      <c r="F5" s="2245" t="s">
        <v>1495</v>
      </c>
      <c r="G5" s="2246">
        <v>42451</v>
      </c>
    </row>
    <row r="6" spans="1:7" ht="12.75" customHeight="1" x14ac:dyDescent="0.2">
      <c r="A6" s="1799" t="s">
        <v>802</v>
      </c>
      <c r="B6" s="1799" t="s">
        <v>1497</v>
      </c>
      <c r="C6" s="4708" t="s">
        <v>702</v>
      </c>
      <c r="D6" s="4708"/>
      <c r="E6" s="1799" t="s">
        <v>103</v>
      </c>
      <c r="F6" s="1799" t="s">
        <v>104</v>
      </c>
      <c r="G6" s="1799" t="s">
        <v>295</v>
      </c>
    </row>
    <row r="7" spans="1:7" ht="16.5" customHeight="1" x14ac:dyDescent="0.2">
      <c r="A7" s="4637" t="s">
        <v>3233</v>
      </c>
      <c r="B7" s="2752" t="s">
        <v>1498</v>
      </c>
      <c r="C7" s="4660"/>
      <c r="D7" s="4660"/>
      <c r="E7" s="2752" t="s">
        <v>3234</v>
      </c>
      <c r="F7" s="2235" t="s">
        <v>169</v>
      </c>
      <c r="G7" s="2237">
        <f>ROUND(310*(1-B55),2)</f>
        <v>310</v>
      </c>
    </row>
    <row r="8" spans="1:7" ht="31.5" customHeight="1" x14ac:dyDescent="0.2">
      <c r="A8" s="4637"/>
      <c r="B8" s="2752"/>
      <c r="C8" s="4660"/>
      <c r="D8" s="4660"/>
      <c r="E8" s="2752"/>
      <c r="F8" s="2235" t="s">
        <v>1499</v>
      </c>
      <c r="G8" s="2235">
        <f>G7*3</f>
        <v>930</v>
      </c>
    </row>
    <row r="9" spans="1:7" ht="31.5" customHeight="1" x14ac:dyDescent="0.2">
      <c r="A9" s="4637"/>
      <c r="B9" s="2752"/>
      <c r="C9" s="4660"/>
      <c r="D9" s="4660"/>
      <c r="E9" s="2752"/>
      <c r="F9" s="2235" t="s">
        <v>1500</v>
      </c>
      <c r="G9" s="2235">
        <f>G8*5</f>
        <v>4650</v>
      </c>
    </row>
    <row r="10" spans="1:7" ht="18.75" customHeight="1" x14ac:dyDescent="0.2">
      <c r="A10" s="4720" t="s">
        <v>1501</v>
      </c>
      <c r="B10" s="3095" t="s">
        <v>1498</v>
      </c>
      <c r="C10" s="4723"/>
      <c r="D10" s="4724"/>
      <c r="E10" s="3095" t="s">
        <v>3235</v>
      </c>
      <c r="F10" s="3095" t="s">
        <v>169</v>
      </c>
      <c r="G10" s="4711">
        <f>ROUND(357*(1-B55),2)</f>
        <v>357</v>
      </c>
    </row>
    <row r="11" spans="1:7" ht="18.75" customHeight="1" x14ac:dyDescent="0.2">
      <c r="A11" s="4721"/>
      <c r="B11" s="3096"/>
      <c r="C11" s="4725"/>
      <c r="D11" s="4726"/>
      <c r="E11" s="3096"/>
      <c r="F11" s="3096"/>
      <c r="G11" s="4727"/>
    </row>
    <row r="12" spans="1:7" ht="18.75" customHeight="1" x14ac:dyDescent="0.2">
      <c r="A12" s="4721"/>
      <c r="B12" s="3096"/>
      <c r="C12" s="4725"/>
      <c r="D12" s="4726"/>
      <c r="E12" s="3096"/>
      <c r="F12" s="3096"/>
      <c r="G12" s="4727"/>
    </row>
    <row r="13" spans="1:7" ht="18.75" customHeight="1" x14ac:dyDescent="0.2">
      <c r="A13" s="4722"/>
      <c r="B13" s="3097"/>
      <c r="C13" s="4645"/>
      <c r="D13" s="4647"/>
      <c r="E13" s="3097"/>
      <c r="F13" s="3097"/>
      <c r="G13" s="4712"/>
    </row>
    <row r="14" spans="1:7" ht="27" customHeight="1" x14ac:dyDescent="0.2">
      <c r="A14" s="4719" t="s">
        <v>1502</v>
      </c>
      <c r="B14" s="4719"/>
      <c r="C14" s="4719"/>
      <c r="D14" s="4719"/>
      <c r="E14" s="4719"/>
      <c r="F14" s="4719"/>
      <c r="G14" s="4719"/>
    </row>
    <row r="15" spans="1:7" ht="27" customHeight="1" x14ac:dyDescent="0.2">
      <c r="A15" s="1799" t="s">
        <v>399</v>
      </c>
      <c r="B15" s="1799" t="s">
        <v>1503</v>
      </c>
      <c r="C15" s="1799" t="s">
        <v>702</v>
      </c>
      <c r="D15" s="1800" t="s">
        <v>1504</v>
      </c>
      <c r="E15" s="1799" t="s">
        <v>103</v>
      </c>
      <c r="F15" s="1799" t="s">
        <v>104</v>
      </c>
      <c r="G15" s="1799" t="s">
        <v>295</v>
      </c>
    </row>
    <row r="16" spans="1:7" ht="30" customHeight="1" x14ac:dyDescent="0.2">
      <c r="A16" s="2234" t="s">
        <v>1505</v>
      </c>
      <c r="B16" s="2235" t="s">
        <v>1506</v>
      </c>
      <c r="C16" s="3095"/>
      <c r="D16" s="3095" t="s">
        <v>1507</v>
      </c>
      <c r="E16" s="2235" t="s">
        <v>1508</v>
      </c>
      <c r="F16" s="2235" t="s">
        <v>169</v>
      </c>
      <c r="G16" s="2237">
        <f>ROUND(399*(1-B55),2)</f>
        <v>399</v>
      </c>
    </row>
    <row r="17" spans="1:7" ht="30" customHeight="1" x14ac:dyDescent="0.2">
      <c r="A17" s="2234" t="s">
        <v>1509</v>
      </c>
      <c r="B17" s="2235" t="s">
        <v>1506</v>
      </c>
      <c r="C17" s="3097"/>
      <c r="D17" s="3097"/>
      <c r="E17" s="2235" t="s">
        <v>1508</v>
      </c>
      <c r="F17" s="2235" t="s">
        <v>169</v>
      </c>
      <c r="G17" s="2237">
        <f>ROUND(348*(1-B55),2)</f>
        <v>348</v>
      </c>
    </row>
    <row r="18" spans="1:7" ht="21" customHeight="1" x14ac:dyDescent="0.2">
      <c r="A18" s="4717" t="s">
        <v>1510</v>
      </c>
      <c r="B18" s="3095" t="s">
        <v>1511</v>
      </c>
      <c r="C18" s="3095"/>
      <c r="D18" s="3095" t="s">
        <v>1507</v>
      </c>
      <c r="E18" s="3095" t="s">
        <v>3236</v>
      </c>
      <c r="F18" s="3095" t="s">
        <v>169</v>
      </c>
      <c r="G18" s="4711">
        <f>ROUND(225*(1-B55),2)</f>
        <v>225</v>
      </c>
    </row>
    <row r="19" spans="1:7" ht="21" customHeight="1" x14ac:dyDescent="0.2">
      <c r="A19" s="4718"/>
      <c r="B19" s="3097"/>
      <c r="C19" s="3097"/>
      <c r="D19" s="3097"/>
      <c r="E19" s="3097"/>
      <c r="F19" s="3097"/>
      <c r="G19" s="4712"/>
    </row>
    <row r="20" spans="1:7" ht="30" customHeight="1" x14ac:dyDescent="0.2">
      <c r="A20" s="4717" t="s">
        <v>3258</v>
      </c>
      <c r="B20" s="3095" t="s">
        <v>1511</v>
      </c>
      <c r="C20" s="3095"/>
      <c r="D20" s="3095" t="s">
        <v>3237</v>
      </c>
      <c r="E20" s="3095" t="s">
        <v>3238</v>
      </c>
      <c r="F20" s="3095" t="s">
        <v>169</v>
      </c>
      <c r="G20" s="4711">
        <f>ROUND(230*(1-B55),2)</f>
        <v>230</v>
      </c>
    </row>
    <row r="21" spans="1:7" ht="30" customHeight="1" x14ac:dyDescent="0.2">
      <c r="A21" s="4718"/>
      <c r="B21" s="3097"/>
      <c r="C21" s="3097"/>
      <c r="D21" s="3097"/>
      <c r="E21" s="3097"/>
      <c r="F21" s="3097"/>
      <c r="G21" s="4712"/>
    </row>
    <row r="22" spans="1:7" ht="27.75" customHeight="1" x14ac:dyDescent="0.2">
      <c r="A22" s="2234" t="s">
        <v>1512</v>
      </c>
      <c r="B22" s="2235" t="s">
        <v>1506</v>
      </c>
      <c r="C22" s="2752"/>
      <c r="D22" s="2752" t="s">
        <v>3237</v>
      </c>
      <c r="E22" s="2235" t="s">
        <v>1513</v>
      </c>
      <c r="F22" s="2235" t="s">
        <v>169</v>
      </c>
      <c r="G22" s="2237">
        <f>ROUND(255*(1-B55),2)</f>
        <v>255</v>
      </c>
    </row>
    <row r="23" spans="1:7" ht="27.75" customHeight="1" x14ac:dyDescent="0.2">
      <c r="A23" s="2234" t="s">
        <v>1514</v>
      </c>
      <c r="B23" s="2235" t="s">
        <v>1506</v>
      </c>
      <c r="C23" s="2752"/>
      <c r="D23" s="2752"/>
      <c r="E23" s="2235" t="s">
        <v>1513</v>
      </c>
      <c r="F23" s="2235" t="s">
        <v>169</v>
      </c>
      <c r="G23" s="2237">
        <f>ROUND(192*(1-B55),2)</f>
        <v>192</v>
      </c>
    </row>
    <row r="24" spans="1:7" ht="26.25" customHeight="1" x14ac:dyDescent="0.2">
      <c r="A24" s="4717" t="s">
        <v>1515</v>
      </c>
      <c r="B24" s="3095" t="s">
        <v>1516</v>
      </c>
      <c r="C24" s="3095"/>
      <c r="D24" s="3095" t="s">
        <v>1517</v>
      </c>
      <c r="E24" s="3095" t="s">
        <v>17</v>
      </c>
      <c r="F24" s="3095" t="s">
        <v>179</v>
      </c>
      <c r="G24" s="4711">
        <f>ROUND(22*(1-B55),2)</f>
        <v>22</v>
      </c>
    </row>
    <row r="25" spans="1:7" ht="26.25" customHeight="1" x14ac:dyDescent="0.2">
      <c r="A25" s="4718"/>
      <c r="B25" s="3097"/>
      <c r="C25" s="3096"/>
      <c r="D25" s="3096"/>
      <c r="E25" s="3097"/>
      <c r="F25" s="3097"/>
      <c r="G25" s="4712"/>
    </row>
    <row r="26" spans="1:7" ht="26.25" customHeight="1" x14ac:dyDescent="0.2">
      <c r="A26" s="4717" t="s">
        <v>1518</v>
      </c>
      <c r="B26" s="3095" t="s">
        <v>1516</v>
      </c>
      <c r="C26" s="3096"/>
      <c r="D26" s="3096"/>
      <c r="E26" s="3095" t="s">
        <v>17</v>
      </c>
      <c r="F26" s="3095" t="s">
        <v>179</v>
      </c>
      <c r="G26" s="4711">
        <f>ROUND(15*(1-B55),2)</f>
        <v>15</v>
      </c>
    </row>
    <row r="27" spans="1:7" ht="26.25" customHeight="1" x14ac:dyDescent="0.2">
      <c r="A27" s="4718"/>
      <c r="B27" s="3097"/>
      <c r="C27" s="3097"/>
      <c r="D27" s="3097"/>
      <c r="E27" s="3097"/>
      <c r="F27" s="3097"/>
      <c r="G27" s="4712"/>
    </row>
    <row r="28" spans="1:7" ht="21.75" customHeight="1" x14ac:dyDescent="0.2">
      <c r="A28" s="4713" t="s">
        <v>3239</v>
      </c>
      <c r="B28" s="4714"/>
      <c r="C28" s="3095"/>
      <c r="D28" s="3095" t="s">
        <v>3237</v>
      </c>
      <c r="E28" s="3095" t="s">
        <v>3240</v>
      </c>
      <c r="F28" s="3095" t="s">
        <v>179</v>
      </c>
      <c r="G28" s="4711">
        <f>ROUND(214*(1-B55),2)</f>
        <v>214</v>
      </c>
    </row>
    <row r="29" spans="1:7" ht="21.75" customHeight="1" x14ac:dyDescent="0.2">
      <c r="A29" s="4715"/>
      <c r="B29" s="4716"/>
      <c r="C29" s="3097"/>
      <c r="D29" s="3096"/>
      <c r="E29" s="3097"/>
      <c r="F29" s="3097"/>
      <c r="G29" s="4712"/>
    </row>
    <row r="30" spans="1:7" ht="21.75" customHeight="1" x14ac:dyDescent="0.2">
      <c r="A30" s="4713" t="s">
        <v>3241</v>
      </c>
      <c r="B30" s="4714"/>
      <c r="C30" s="3095"/>
      <c r="D30" s="3096"/>
      <c r="E30" s="3095" t="s">
        <v>3242</v>
      </c>
      <c r="F30" s="3095" t="s">
        <v>179</v>
      </c>
      <c r="G30" s="4711">
        <f>ROUND(321*(1-B55),2)</f>
        <v>321</v>
      </c>
    </row>
    <row r="31" spans="1:7" ht="21.75" customHeight="1" x14ac:dyDescent="0.2">
      <c r="A31" s="4715"/>
      <c r="B31" s="4716"/>
      <c r="C31" s="3097"/>
      <c r="D31" s="3096"/>
      <c r="E31" s="3097"/>
      <c r="F31" s="3097"/>
      <c r="G31" s="4712"/>
    </row>
    <row r="32" spans="1:7" ht="21.75" customHeight="1" x14ac:dyDescent="0.2">
      <c r="A32" s="4713" t="s">
        <v>3243</v>
      </c>
      <c r="B32" s="4714"/>
      <c r="C32" s="3095"/>
      <c r="D32" s="3096"/>
      <c r="E32" s="3095" t="s">
        <v>3244</v>
      </c>
      <c r="F32" s="3095" t="s">
        <v>179</v>
      </c>
      <c r="G32" s="4711">
        <f>ROUND(428*(1-B55),2)</f>
        <v>428</v>
      </c>
    </row>
    <row r="33" spans="1:8" ht="21.75" customHeight="1" x14ac:dyDescent="0.2">
      <c r="A33" s="4715"/>
      <c r="B33" s="4716"/>
      <c r="C33" s="3097"/>
      <c r="D33" s="3096"/>
      <c r="E33" s="3097"/>
      <c r="F33" s="3097"/>
      <c r="G33" s="4712"/>
    </row>
    <row r="34" spans="1:8" ht="39" customHeight="1" x14ac:dyDescent="0.2">
      <c r="A34" s="4692" t="s">
        <v>3245</v>
      </c>
      <c r="B34" s="4694"/>
      <c r="C34" s="2235"/>
      <c r="D34" s="3096"/>
      <c r="E34" s="2235" t="s">
        <v>3246</v>
      </c>
      <c r="F34" s="2235" t="s">
        <v>179</v>
      </c>
      <c r="G34" s="2237">
        <f>ROUND(428*(1-B55),2)</f>
        <v>428</v>
      </c>
    </row>
    <row r="35" spans="1:8" ht="32.25" customHeight="1" x14ac:dyDescent="0.2">
      <c r="A35" s="4692" t="s">
        <v>3247</v>
      </c>
      <c r="B35" s="4694"/>
      <c r="C35" s="2235"/>
      <c r="D35" s="3097"/>
      <c r="E35" s="2235" t="s">
        <v>3248</v>
      </c>
      <c r="F35" s="2235" t="s">
        <v>179</v>
      </c>
      <c r="G35" s="2237">
        <f>ROUND(68*(1-B55),2)</f>
        <v>68</v>
      </c>
    </row>
    <row r="36" spans="1:8" ht="15" customHeight="1" x14ac:dyDescent="0.2">
      <c r="A36" s="4682" t="s">
        <v>3249</v>
      </c>
      <c r="B36" s="4683"/>
      <c r="C36" s="4683"/>
      <c r="D36" s="4683"/>
      <c r="E36" s="4683"/>
      <c r="F36" s="4683"/>
      <c r="G36" s="4684"/>
    </row>
    <row r="37" spans="1:8" ht="26.25" customHeight="1" x14ac:dyDescent="0.2">
      <c r="A37" s="4692" t="s">
        <v>3250</v>
      </c>
      <c r="B37" s="4693"/>
      <c r="C37" s="4693"/>
      <c r="D37" s="4693"/>
      <c r="E37" s="4693"/>
      <c r="F37" s="4693"/>
      <c r="G37" s="4694"/>
    </row>
    <row r="38" spans="1:8" ht="20.25" customHeight="1" x14ac:dyDescent="0.2">
      <c r="A38" s="2247"/>
      <c r="B38" s="2248"/>
      <c r="C38" s="2248"/>
      <c r="D38" s="2248"/>
      <c r="E38" s="2248"/>
      <c r="F38" s="2248"/>
      <c r="G38" s="2248"/>
      <c r="H38" s="2248"/>
    </row>
    <row r="39" spans="1:8" ht="18.75" thickBot="1" x14ac:dyDescent="0.3">
      <c r="A39" s="4709" t="s">
        <v>1519</v>
      </c>
      <c r="B39" s="4709"/>
      <c r="C39" s="4709"/>
      <c r="D39" s="4709"/>
      <c r="E39" s="4709"/>
      <c r="F39" s="4709"/>
      <c r="G39" s="4709"/>
      <c r="H39" s="2248"/>
    </row>
    <row r="40" spans="1:8" ht="12.75" customHeight="1" x14ac:dyDescent="0.2">
      <c r="E40" s="2249" t="s">
        <v>68</v>
      </c>
      <c r="F40" s="4710">
        <v>42475</v>
      </c>
      <c r="G40" s="4710"/>
      <c r="H40" s="2248"/>
    </row>
    <row r="41" spans="1:8" ht="31.5" customHeight="1" x14ac:dyDescent="0.2">
      <c r="A41" s="1799"/>
      <c r="B41" s="4705" t="s">
        <v>399</v>
      </c>
      <c r="C41" s="4706"/>
      <c r="D41" s="4707"/>
      <c r="E41" s="1800" t="s">
        <v>3251</v>
      </c>
      <c r="F41" s="4708" t="s">
        <v>1520</v>
      </c>
      <c r="G41" s="4708"/>
      <c r="H41" s="2248"/>
    </row>
    <row r="42" spans="1:8" ht="20.25" customHeight="1" x14ac:dyDescent="0.2">
      <c r="A42" s="2250"/>
      <c r="B42" s="4692" t="s">
        <v>3252</v>
      </c>
      <c r="C42" s="4693"/>
      <c r="D42" s="4694"/>
      <c r="E42" s="2236" t="s">
        <v>1521</v>
      </c>
      <c r="F42" s="4695">
        <f>ROUND(9950*(1-E55),2)</f>
        <v>9950</v>
      </c>
      <c r="G42" s="4695"/>
      <c r="H42" s="2248"/>
    </row>
    <row r="43" spans="1:8" ht="20.25" customHeight="1" x14ac:dyDescent="0.2">
      <c r="A43" s="2251"/>
      <c r="B43" s="4692" t="s">
        <v>3253</v>
      </c>
      <c r="C43" s="4693"/>
      <c r="D43" s="4694"/>
      <c r="E43" s="2236" t="s">
        <v>1522</v>
      </c>
      <c r="F43" s="4695">
        <f>ROUND(2490*(1-E55),2)</f>
        <v>2490</v>
      </c>
      <c r="G43" s="4695"/>
      <c r="H43" s="2248"/>
    </row>
    <row r="44" spans="1:8" ht="20.25" customHeight="1" x14ac:dyDescent="0.2">
      <c r="A44" s="2251"/>
      <c r="B44" s="4692" t="s">
        <v>3254</v>
      </c>
      <c r="C44" s="4693"/>
      <c r="D44" s="4694"/>
      <c r="E44" s="2236" t="s">
        <v>1523</v>
      </c>
      <c r="F44" s="4695">
        <f>ROUND(8800*(1-E55),2)</f>
        <v>8800</v>
      </c>
      <c r="G44" s="4695"/>
      <c r="H44" s="2248"/>
    </row>
    <row r="45" spans="1:8" ht="20.25" customHeight="1" x14ac:dyDescent="0.2">
      <c r="A45" s="2251"/>
      <c r="B45" s="4692" t="s">
        <v>1524</v>
      </c>
      <c r="C45" s="4693"/>
      <c r="D45" s="4694"/>
      <c r="E45" s="2236" t="s">
        <v>1522</v>
      </c>
      <c r="F45" s="4695">
        <f>ROUND(2180*(1-E55),2)</f>
        <v>2180</v>
      </c>
      <c r="G45" s="4695"/>
      <c r="H45" s="2248"/>
    </row>
    <row r="46" spans="1:8" ht="20.25" customHeight="1" x14ac:dyDescent="0.2">
      <c r="A46" s="2251"/>
      <c r="B46" s="4692" t="s">
        <v>3255</v>
      </c>
      <c r="C46" s="4693"/>
      <c r="D46" s="4694"/>
      <c r="E46" s="2236" t="s">
        <v>1525</v>
      </c>
      <c r="F46" s="4695">
        <f>ROUND(3115*(1-D55),2)</f>
        <v>3115</v>
      </c>
      <c r="G46" s="4695"/>
      <c r="H46" s="2248"/>
    </row>
    <row r="47" spans="1:8" ht="17.25" customHeight="1" x14ac:dyDescent="0.2">
      <c r="A47" s="4696" t="s">
        <v>3256</v>
      </c>
      <c r="B47" s="4697"/>
      <c r="C47" s="4697"/>
      <c r="D47" s="4697"/>
      <c r="E47" s="4697"/>
      <c r="F47" s="4697"/>
      <c r="G47" s="4698"/>
      <c r="H47" s="2248"/>
    </row>
    <row r="48" spans="1:8" ht="17.25" customHeight="1" x14ac:dyDescent="0.2">
      <c r="A48" s="4699"/>
      <c r="B48" s="4700"/>
      <c r="C48" s="4700"/>
      <c r="D48" s="4700"/>
      <c r="E48" s="4700"/>
      <c r="F48" s="4700"/>
      <c r="G48" s="4701"/>
      <c r="H48" s="2248"/>
    </row>
    <row r="49" spans="1:8" ht="17.25" customHeight="1" x14ac:dyDescent="0.2">
      <c r="A49" s="4702"/>
      <c r="B49" s="4703"/>
      <c r="C49" s="4703"/>
      <c r="D49" s="4703"/>
      <c r="E49" s="4703"/>
      <c r="F49" s="4703"/>
      <c r="G49" s="4704"/>
      <c r="H49" s="2248"/>
    </row>
    <row r="50" spans="1:8" ht="17.25" customHeight="1" x14ac:dyDescent="0.2">
      <c r="A50" s="4682" t="s">
        <v>3257</v>
      </c>
      <c r="B50" s="4683"/>
      <c r="C50" s="4683"/>
      <c r="D50" s="4683"/>
      <c r="E50" s="4683"/>
      <c r="F50" s="4683"/>
      <c r="G50" s="4684"/>
      <c r="H50" s="2248"/>
    </row>
    <row r="51" spans="1:8" x14ac:dyDescent="0.2">
      <c r="H51" s="2248"/>
    </row>
    <row r="52" spans="1:8" x14ac:dyDescent="0.2">
      <c r="H52" s="2248"/>
    </row>
    <row r="53" spans="1:8" ht="11.25" customHeight="1" x14ac:dyDescent="0.2">
      <c r="A53" s="4685" t="s">
        <v>949</v>
      </c>
      <c r="B53" s="4686" t="s">
        <v>1496</v>
      </c>
      <c r="C53" s="4687"/>
      <c r="D53" s="4690" t="s">
        <v>1519</v>
      </c>
      <c r="E53" s="4690"/>
      <c r="H53" s="2248"/>
    </row>
    <row r="54" spans="1:8" ht="12.75" x14ac:dyDescent="0.2">
      <c r="A54" s="4685"/>
      <c r="B54" s="4688"/>
      <c r="C54" s="4689"/>
      <c r="D54" s="2238" t="s">
        <v>1526</v>
      </c>
      <c r="E54" s="2238" t="s">
        <v>1527</v>
      </c>
      <c r="H54" s="2248"/>
    </row>
    <row r="55" spans="1:8" ht="12.75" x14ac:dyDescent="0.2">
      <c r="A55" s="4685"/>
      <c r="B55" s="4691">
        <v>0</v>
      </c>
      <c r="C55" s="4691"/>
      <c r="D55" s="2239">
        <v>0</v>
      </c>
      <c r="E55" s="2239">
        <v>0</v>
      </c>
      <c r="H55" s="2248"/>
    </row>
    <row r="56" spans="1:8" x14ac:dyDescent="0.2">
      <c r="H56" s="2248"/>
    </row>
  </sheetData>
  <sheetProtection selectLockedCells="1" selectUnlockedCells="1"/>
  <mergeCells count="83">
    <mergeCell ref="B4:G4"/>
    <mergeCell ref="A7:A9"/>
    <mergeCell ref="B7:B9"/>
    <mergeCell ref="C7:D9"/>
    <mergeCell ref="E7:E9"/>
    <mergeCell ref="C6:D6"/>
    <mergeCell ref="C16:C17"/>
    <mergeCell ref="D16:D17"/>
    <mergeCell ref="A14:G14"/>
    <mergeCell ref="A10:A13"/>
    <mergeCell ref="B10:B13"/>
    <mergeCell ref="C10:D13"/>
    <mergeCell ref="E10:E13"/>
    <mergeCell ref="F10:F13"/>
    <mergeCell ref="G10:G13"/>
    <mergeCell ref="E20:E21"/>
    <mergeCell ref="F20:F21"/>
    <mergeCell ref="G20:G21"/>
    <mergeCell ref="A18:A19"/>
    <mergeCell ref="B18:B19"/>
    <mergeCell ref="C18:C19"/>
    <mergeCell ref="D18:D19"/>
    <mergeCell ref="E18:E19"/>
    <mergeCell ref="F18:F19"/>
    <mergeCell ref="G18:G19"/>
    <mergeCell ref="C22:C23"/>
    <mergeCell ref="D22:D23"/>
    <mergeCell ref="A20:A21"/>
    <mergeCell ref="B20:B21"/>
    <mergeCell ref="C20:C21"/>
    <mergeCell ref="D20:D21"/>
    <mergeCell ref="G26:G27"/>
    <mergeCell ref="G24:G25"/>
    <mergeCell ref="A24:A25"/>
    <mergeCell ref="B24:B25"/>
    <mergeCell ref="C24:C27"/>
    <mergeCell ref="D24:D27"/>
    <mergeCell ref="E24:E25"/>
    <mergeCell ref="F24:F25"/>
    <mergeCell ref="A26:A27"/>
    <mergeCell ref="B26:B27"/>
    <mergeCell ref="E26:E27"/>
    <mergeCell ref="F26:F27"/>
    <mergeCell ref="E28:E29"/>
    <mergeCell ref="F28:F29"/>
    <mergeCell ref="G32:G33"/>
    <mergeCell ref="A30:B31"/>
    <mergeCell ref="C30:C31"/>
    <mergeCell ref="E30:E31"/>
    <mergeCell ref="F30:F31"/>
    <mergeCell ref="G30:G31"/>
    <mergeCell ref="G28:G29"/>
    <mergeCell ref="A28:B29"/>
    <mergeCell ref="C28:C29"/>
    <mergeCell ref="D28:D35"/>
    <mergeCell ref="A34:B34"/>
    <mergeCell ref="A32:B33"/>
    <mergeCell ref="C32:C33"/>
    <mergeCell ref="E32:E33"/>
    <mergeCell ref="F32:F33"/>
    <mergeCell ref="A39:G39"/>
    <mergeCell ref="F40:G40"/>
    <mergeCell ref="A37:G37"/>
    <mergeCell ref="A35:B35"/>
    <mergeCell ref="A36:G36"/>
    <mergeCell ref="B42:D42"/>
    <mergeCell ref="F42:G42"/>
    <mergeCell ref="B43:D43"/>
    <mergeCell ref="F43:G43"/>
    <mergeCell ref="B41:D41"/>
    <mergeCell ref="F41:G41"/>
    <mergeCell ref="B46:D46"/>
    <mergeCell ref="F46:G46"/>
    <mergeCell ref="A47:G49"/>
    <mergeCell ref="B44:D44"/>
    <mergeCell ref="F44:G44"/>
    <mergeCell ref="B45:D45"/>
    <mergeCell ref="F45:G45"/>
    <mergeCell ref="A50:G50"/>
    <mergeCell ref="A53:A55"/>
    <mergeCell ref="B53:C54"/>
    <mergeCell ref="D53:E53"/>
    <mergeCell ref="B55:C55"/>
  </mergeCells>
  <printOptions horizontalCentered="1"/>
  <pageMargins left="0" right="0" top="0" bottom="0" header="0.51181102362204722" footer="0.51181102362204722"/>
  <pageSetup paperSize="9" scale="70" firstPageNumber="0" orientation="portrait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0"/>
  <sheetViews>
    <sheetView zoomScale="40" zoomScaleNormal="40" zoomScaleSheetLayoutView="40" zoomScalePageLayoutView="40" workbookViewId="0">
      <selection sqref="A1:C2"/>
    </sheetView>
  </sheetViews>
  <sheetFormatPr defaultRowHeight="12.75" x14ac:dyDescent="0.2"/>
  <cols>
    <col min="1" max="1" width="37.140625" style="396" customWidth="1"/>
    <col min="2" max="2" width="123.140625" style="396" customWidth="1"/>
    <col min="3" max="3" width="39.140625" style="396" customWidth="1"/>
    <col min="4" max="4" width="38.42578125" style="396" customWidth="1"/>
    <col min="5" max="5" width="37.28515625" style="396" customWidth="1"/>
    <col min="6" max="6" width="5.5703125" style="396" customWidth="1"/>
    <col min="7" max="7" width="40.140625" style="396" customWidth="1"/>
    <col min="8" max="8" width="88.140625" style="396" customWidth="1"/>
    <col min="9" max="9" width="39.140625" style="396" customWidth="1"/>
    <col min="10" max="16384" width="9.140625" style="396"/>
  </cols>
  <sheetData>
    <row r="1" spans="1:9" s="154" customFormat="1" ht="27.75" customHeight="1" x14ac:dyDescent="0.35">
      <c r="A1" s="4757"/>
      <c r="B1" s="4757"/>
      <c r="C1" s="4757"/>
      <c r="D1" s="4757"/>
      <c r="E1" s="4757"/>
      <c r="F1" s="4757"/>
      <c r="G1" s="4757"/>
      <c r="H1" s="4757"/>
      <c r="I1" s="4757"/>
    </row>
    <row r="2" spans="1:9" s="154" customFormat="1" ht="27.75" customHeight="1" x14ac:dyDescent="0.35">
      <c r="A2" s="4757"/>
      <c r="B2" s="4757"/>
      <c r="C2" s="4757"/>
      <c r="D2" s="4757"/>
      <c r="E2" s="4757"/>
      <c r="F2" s="4757"/>
      <c r="G2" s="4757"/>
      <c r="H2" s="4757"/>
      <c r="I2" s="4757"/>
    </row>
    <row r="3" spans="1:9" s="154" customFormat="1" ht="27" x14ac:dyDescent="0.35">
      <c r="A3" s="4757"/>
      <c r="B3" s="4757"/>
      <c r="C3" s="4757"/>
      <c r="D3" s="4757"/>
      <c r="E3" s="4757"/>
      <c r="F3" s="4757"/>
      <c r="G3" s="4757"/>
      <c r="H3" s="4757"/>
      <c r="I3" s="4757"/>
    </row>
    <row r="4" spans="1:9" s="154" customFormat="1" ht="27" x14ac:dyDescent="0.35">
      <c r="A4" s="4757"/>
      <c r="B4" s="4757"/>
      <c r="C4" s="4757"/>
      <c r="D4" s="4757"/>
      <c r="E4" s="4757"/>
      <c r="F4" s="4757"/>
      <c r="G4" s="4757"/>
      <c r="H4" s="4757"/>
      <c r="I4" s="4757"/>
    </row>
    <row r="5" spans="1:9" s="154" customFormat="1" ht="17.25" customHeight="1" x14ac:dyDescent="0.35">
      <c r="A5" s="4757"/>
      <c r="B5" s="4757"/>
      <c r="C5" s="4757"/>
      <c r="D5" s="4757"/>
      <c r="E5" s="4757"/>
      <c r="F5" s="4757"/>
      <c r="G5" s="4757"/>
      <c r="H5" s="4757"/>
      <c r="I5" s="4757"/>
    </row>
    <row r="6" spans="1:9" s="154" customFormat="1" ht="35.25" customHeight="1" thickBot="1" x14ac:dyDescent="0.4">
      <c r="A6" s="4758"/>
      <c r="B6" s="4758"/>
      <c r="C6" s="4758"/>
      <c r="D6" s="4758"/>
      <c r="E6" s="4758"/>
      <c r="F6" s="4758"/>
      <c r="G6" s="4758"/>
      <c r="H6" s="4758"/>
      <c r="I6" s="4758"/>
    </row>
    <row r="7" spans="1:9" s="154" customFormat="1" ht="35.25" customHeight="1" x14ac:dyDescent="0.35">
      <c r="A7" s="4759" t="s">
        <v>2189</v>
      </c>
      <c r="B7" s="4759"/>
      <c r="C7" s="4759"/>
      <c r="D7" s="4759"/>
      <c r="E7" s="4759"/>
      <c r="F7" s="4759"/>
      <c r="G7" s="4759"/>
      <c r="H7" s="4759"/>
      <c r="I7" s="4759"/>
    </row>
    <row r="8" spans="1:9" s="154" customFormat="1" ht="23.25" customHeight="1" x14ac:dyDescent="0.35">
      <c r="A8" s="246"/>
      <c r="B8" s="873"/>
      <c r="E8" s="874"/>
      <c r="H8" s="4760" t="s">
        <v>2593</v>
      </c>
      <c r="I8" s="4760"/>
    </row>
    <row r="9" spans="1:9" s="154" customFormat="1" ht="36" customHeight="1" x14ac:dyDescent="0.35">
      <c r="A9" s="4761" t="s">
        <v>1528</v>
      </c>
      <c r="B9" s="4761"/>
      <c r="C9" s="4761"/>
      <c r="D9" s="4761"/>
      <c r="E9" s="4761"/>
      <c r="F9" s="875"/>
      <c r="G9" s="4762" t="s">
        <v>1529</v>
      </c>
      <c r="H9" s="4762"/>
      <c r="I9" s="4762"/>
    </row>
    <row r="10" spans="1:9" s="154" customFormat="1" ht="33.75" customHeight="1" x14ac:dyDescent="0.35">
      <c r="A10" s="4763" t="s">
        <v>955</v>
      </c>
      <c r="B10" s="4765" t="s">
        <v>399</v>
      </c>
      <c r="C10" s="4765" t="s">
        <v>276</v>
      </c>
      <c r="D10" s="4765" t="s">
        <v>1530</v>
      </c>
      <c r="E10" s="4763" t="s">
        <v>1531</v>
      </c>
      <c r="G10" s="4767" t="s">
        <v>399</v>
      </c>
      <c r="H10" s="4767"/>
      <c r="I10" s="2130" t="s">
        <v>276</v>
      </c>
    </row>
    <row r="11" spans="1:9" s="154" customFormat="1" ht="33" customHeight="1" x14ac:dyDescent="0.35">
      <c r="A11" s="4764"/>
      <c r="B11" s="4766"/>
      <c r="C11" s="4766"/>
      <c r="D11" s="4766"/>
      <c r="E11" s="4764"/>
      <c r="G11" s="4767" t="s">
        <v>1532</v>
      </c>
      <c r="H11" s="4767"/>
      <c r="I11" s="4767"/>
    </row>
    <row r="12" spans="1:9" s="154" customFormat="1" ht="102" customHeight="1" x14ac:dyDescent="0.35">
      <c r="A12" s="917"/>
      <c r="B12" s="919" t="s">
        <v>1685</v>
      </c>
      <c r="C12" s="918">
        <v>3500</v>
      </c>
      <c r="D12" s="918" t="s">
        <v>1683</v>
      </c>
      <c r="E12" s="2132" t="s">
        <v>1539</v>
      </c>
      <c r="F12" s="881"/>
      <c r="G12" s="1568"/>
      <c r="H12" s="1569" t="s">
        <v>2323</v>
      </c>
      <c r="I12" s="1567">
        <v>1000</v>
      </c>
    </row>
    <row r="13" spans="1:9" s="154" customFormat="1" ht="91.5" customHeight="1" x14ac:dyDescent="0.35">
      <c r="A13" s="876"/>
      <c r="B13" s="877" t="s">
        <v>1533</v>
      </c>
      <c r="C13" s="878" t="s">
        <v>1534</v>
      </c>
      <c r="D13" s="2132" t="s">
        <v>1535</v>
      </c>
      <c r="E13" s="2132" t="s">
        <v>1536</v>
      </c>
      <c r="G13" s="4756" t="s">
        <v>1537</v>
      </c>
      <c r="H13" s="4756"/>
      <c r="I13" s="2128">
        <v>1.7</v>
      </c>
    </row>
    <row r="14" spans="1:9" s="881" customFormat="1" ht="91.5" customHeight="1" x14ac:dyDescent="0.35">
      <c r="A14" s="879"/>
      <c r="B14" s="877" t="s">
        <v>1686</v>
      </c>
      <c r="C14" s="880">
        <v>3500</v>
      </c>
      <c r="D14" s="880" t="s">
        <v>1538</v>
      </c>
      <c r="E14" s="2132" t="s">
        <v>1539</v>
      </c>
      <c r="G14" s="4756" t="s">
        <v>1540</v>
      </c>
      <c r="H14" s="4756"/>
      <c r="I14" s="2129">
        <v>2</v>
      </c>
    </row>
    <row r="15" spans="1:9" s="154" customFormat="1" ht="92.25" customHeight="1" x14ac:dyDescent="0.35">
      <c r="A15" s="876"/>
      <c r="B15" s="877" t="s">
        <v>1541</v>
      </c>
      <c r="C15" s="2132" t="s">
        <v>1542</v>
      </c>
      <c r="D15" s="882" t="s">
        <v>1543</v>
      </c>
      <c r="E15" s="2132" t="s">
        <v>1539</v>
      </c>
      <c r="G15" s="4729" t="s">
        <v>1544</v>
      </c>
      <c r="H15" s="4729"/>
      <c r="I15" s="2129">
        <v>3.5</v>
      </c>
    </row>
    <row r="16" spans="1:9" s="154" customFormat="1" ht="92.25" customHeight="1" x14ac:dyDescent="0.35">
      <c r="A16" s="876"/>
      <c r="B16" s="877" t="s">
        <v>1545</v>
      </c>
      <c r="C16" s="2132" t="s">
        <v>1546</v>
      </c>
      <c r="D16" s="2132" t="s">
        <v>1538</v>
      </c>
      <c r="E16" s="2132" t="s">
        <v>1539</v>
      </c>
      <c r="G16" s="4756" t="s">
        <v>1547</v>
      </c>
      <c r="H16" s="4756"/>
      <c r="I16" s="2129">
        <v>35.4</v>
      </c>
    </row>
    <row r="17" spans="1:9" s="154" customFormat="1" ht="86.25" customHeight="1" x14ac:dyDescent="0.35">
      <c r="A17" s="876"/>
      <c r="B17" s="883" t="s">
        <v>1548</v>
      </c>
      <c r="C17" s="2132" t="s">
        <v>1546</v>
      </c>
      <c r="D17" s="2132" t="s">
        <v>1549</v>
      </c>
      <c r="E17" s="2132" t="s">
        <v>1539</v>
      </c>
      <c r="G17" s="4729" t="s">
        <v>1550</v>
      </c>
      <c r="H17" s="4729"/>
      <c r="I17" s="2128">
        <v>59.7</v>
      </c>
    </row>
    <row r="18" spans="1:9" s="154" customFormat="1" ht="92.25" customHeight="1" x14ac:dyDescent="0.35">
      <c r="A18" s="876"/>
      <c r="B18" s="883" t="s">
        <v>1551</v>
      </c>
      <c r="C18" s="2132" t="s">
        <v>1546</v>
      </c>
      <c r="D18" s="2132" t="s">
        <v>1549</v>
      </c>
      <c r="E18" s="2132" t="s">
        <v>1539</v>
      </c>
      <c r="G18" s="4728" t="s">
        <v>1552</v>
      </c>
      <c r="H18" s="4728"/>
      <c r="I18" s="2128">
        <v>7.4</v>
      </c>
    </row>
    <row r="19" spans="1:9" s="154" customFormat="1" ht="92.25" customHeight="1" x14ac:dyDescent="0.35">
      <c r="A19" s="876"/>
      <c r="B19" s="883" t="s">
        <v>1553</v>
      </c>
      <c r="C19" s="2132">
        <v>1800</v>
      </c>
      <c r="D19" s="2132" t="s">
        <v>1554</v>
      </c>
      <c r="E19" s="2132" t="s">
        <v>1539</v>
      </c>
      <c r="G19" s="4728" t="s">
        <v>1555</v>
      </c>
      <c r="H19" s="4728"/>
      <c r="I19" s="2129">
        <v>8.8000000000000007</v>
      </c>
    </row>
    <row r="20" spans="1:9" s="154" customFormat="1" ht="88.5" customHeight="1" x14ac:dyDescent="0.35">
      <c r="A20" s="876"/>
      <c r="B20" s="877" t="s">
        <v>1556</v>
      </c>
      <c r="C20" s="2132" t="s">
        <v>1557</v>
      </c>
      <c r="D20" s="2132" t="s">
        <v>1558</v>
      </c>
      <c r="E20" s="2132" t="s">
        <v>1539</v>
      </c>
      <c r="G20" s="4728" t="s">
        <v>1559</v>
      </c>
      <c r="H20" s="4728"/>
      <c r="I20" s="2129">
        <v>2.4</v>
      </c>
    </row>
    <row r="21" spans="1:9" s="154" customFormat="1" ht="92.25" customHeight="1" x14ac:dyDescent="0.35">
      <c r="A21" s="4731"/>
      <c r="B21" s="883" t="s">
        <v>1560</v>
      </c>
      <c r="C21" s="2132" t="s">
        <v>1561</v>
      </c>
      <c r="D21" s="2132" t="s">
        <v>1562</v>
      </c>
      <c r="E21" s="2132" t="s">
        <v>1536</v>
      </c>
      <c r="G21" s="4729" t="s">
        <v>1563</v>
      </c>
      <c r="H21" s="4729"/>
      <c r="I21" s="4744">
        <v>3</v>
      </c>
    </row>
    <row r="22" spans="1:9" s="154" customFormat="1" ht="30" customHeight="1" x14ac:dyDescent="0.35">
      <c r="A22" s="4732"/>
      <c r="B22" s="1448" t="s">
        <v>2178</v>
      </c>
      <c r="C22" s="2131" t="s">
        <v>17</v>
      </c>
      <c r="D22" s="2131" t="s">
        <v>17</v>
      </c>
      <c r="E22" s="2132" t="s">
        <v>1536</v>
      </c>
      <c r="G22" s="4729"/>
      <c r="H22" s="4729"/>
      <c r="I22" s="4744"/>
    </row>
    <row r="23" spans="1:9" s="154" customFormat="1" ht="30" customHeight="1" x14ac:dyDescent="0.35">
      <c r="A23" s="4731"/>
      <c r="B23" s="4748" t="s">
        <v>1684</v>
      </c>
      <c r="C23" s="4737">
        <v>1700</v>
      </c>
      <c r="D23" s="4737" t="s">
        <v>1687</v>
      </c>
      <c r="E23" s="4737" t="s">
        <v>1539</v>
      </c>
      <c r="G23" s="4750" t="s">
        <v>1566</v>
      </c>
      <c r="H23" s="4751"/>
      <c r="I23" s="4754" t="s">
        <v>17</v>
      </c>
    </row>
    <row r="24" spans="1:9" s="154" customFormat="1" ht="92.25" customHeight="1" x14ac:dyDescent="0.35">
      <c r="A24" s="4732"/>
      <c r="B24" s="4749"/>
      <c r="C24" s="4738"/>
      <c r="D24" s="4738"/>
      <c r="E24" s="4738"/>
      <c r="G24" s="4752"/>
      <c r="H24" s="4753"/>
      <c r="I24" s="4755"/>
    </row>
    <row r="25" spans="1:9" s="154" customFormat="1" ht="33.75" customHeight="1" x14ac:dyDescent="0.35">
      <c r="A25" s="4731"/>
      <c r="B25" s="4735" t="s">
        <v>1564</v>
      </c>
      <c r="C25" s="4746" t="s">
        <v>2592</v>
      </c>
      <c r="D25" s="4737" t="s">
        <v>1565</v>
      </c>
      <c r="E25" s="4737" t="s">
        <v>1536</v>
      </c>
      <c r="G25" s="4743" t="s">
        <v>525</v>
      </c>
      <c r="H25" s="4743"/>
      <c r="I25" s="4743"/>
    </row>
    <row r="26" spans="1:9" s="154" customFormat="1" ht="78.75" customHeight="1" x14ac:dyDescent="0.35">
      <c r="A26" s="4745"/>
      <c r="B26" s="4742"/>
      <c r="C26" s="4747"/>
      <c r="D26" s="4738"/>
      <c r="E26" s="4738"/>
      <c r="G26" s="4728" t="s">
        <v>1570</v>
      </c>
      <c r="H26" s="4728"/>
      <c r="I26" s="2129">
        <v>17.5</v>
      </c>
    </row>
    <row r="27" spans="1:9" s="154" customFormat="1" ht="37.5" customHeight="1" x14ac:dyDescent="0.35">
      <c r="A27" s="4732"/>
      <c r="B27" s="1449" t="s">
        <v>2179</v>
      </c>
      <c r="C27" s="2131" t="s">
        <v>17</v>
      </c>
      <c r="D27" s="2131" t="s">
        <v>17</v>
      </c>
      <c r="E27" s="2132" t="s">
        <v>1536</v>
      </c>
      <c r="G27" s="4729" t="s">
        <v>1572</v>
      </c>
      <c r="H27" s="4729"/>
      <c r="I27" s="4744">
        <v>0.8</v>
      </c>
    </row>
    <row r="28" spans="1:9" s="154" customFormat="1" ht="26.25" customHeight="1" x14ac:dyDescent="0.35">
      <c r="A28" s="4731"/>
      <c r="B28" s="4735" t="s">
        <v>1567</v>
      </c>
      <c r="C28" s="4737" t="s">
        <v>1568</v>
      </c>
      <c r="D28" s="4737" t="s">
        <v>1569</v>
      </c>
      <c r="E28" s="4737" t="s">
        <v>1536</v>
      </c>
      <c r="G28" s="4729"/>
      <c r="H28" s="4729"/>
      <c r="I28" s="4744"/>
    </row>
    <row r="29" spans="1:9" s="154" customFormat="1" ht="80.25" customHeight="1" x14ac:dyDescent="0.35">
      <c r="A29" s="4745"/>
      <c r="B29" s="4742"/>
      <c r="C29" s="4738"/>
      <c r="D29" s="4738"/>
      <c r="E29" s="4738"/>
      <c r="G29" s="4728" t="s">
        <v>1575</v>
      </c>
      <c r="H29" s="4728"/>
      <c r="I29" s="4730">
        <v>7.9</v>
      </c>
    </row>
    <row r="30" spans="1:9" s="154" customFormat="1" ht="37.5" customHeight="1" x14ac:dyDescent="0.35">
      <c r="A30" s="4732"/>
      <c r="B30" s="1449" t="s">
        <v>2180</v>
      </c>
      <c r="C30" s="2131" t="s">
        <v>17</v>
      </c>
      <c r="D30" s="2131" t="s">
        <v>17</v>
      </c>
      <c r="E30" s="2132" t="s">
        <v>1536</v>
      </c>
      <c r="G30" s="4728"/>
      <c r="H30" s="4728"/>
      <c r="I30" s="4730"/>
    </row>
    <row r="31" spans="1:9" s="154" customFormat="1" ht="31.5" customHeight="1" x14ac:dyDescent="0.35">
      <c r="A31" s="4731"/>
      <c r="B31" s="4735" t="s">
        <v>2002</v>
      </c>
      <c r="C31" s="4737">
        <v>1240</v>
      </c>
      <c r="D31" s="4737" t="s">
        <v>1571</v>
      </c>
      <c r="E31" s="4737" t="s">
        <v>1536</v>
      </c>
      <c r="G31" s="4739" t="s">
        <v>1579</v>
      </c>
      <c r="H31" s="4740"/>
      <c r="I31" s="4741"/>
    </row>
    <row r="32" spans="1:9" s="154" customFormat="1" ht="75" customHeight="1" x14ac:dyDescent="0.35">
      <c r="A32" s="4732"/>
      <c r="B32" s="4736"/>
      <c r="C32" s="4738"/>
      <c r="D32" s="4738"/>
      <c r="E32" s="4738"/>
      <c r="G32" s="4728" t="s">
        <v>1580</v>
      </c>
      <c r="H32" s="4728"/>
      <c r="I32" s="2128">
        <v>33.4</v>
      </c>
    </row>
    <row r="33" spans="1:9" s="154" customFormat="1" ht="86.25" customHeight="1" x14ac:dyDescent="0.35">
      <c r="A33" s="876"/>
      <c r="B33" s="883" t="s">
        <v>1573</v>
      </c>
      <c r="C33" s="2132">
        <v>2800</v>
      </c>
      <c r="D33" s="2132" t="s">
        <v>1574</v>
      </c>
      <c r="E33" s="2132" t="s">
        <v>1536</v>
      </c>
      <c r="G33" s="4729" t="s">
        <v>1581</v>
      </c>
      <c r="H33" s="4729"/>
      <c r="I33" s="4730">
        <v>36.5</v>
      </c>
    </row>
    <row r="34" spans="1:9" s="154" customFormat="1" ht="8.25" customHeight="1" x14ac:dyDescent="0.35">
      <c r="A34" s="4731"/>
      <c r="B34" s="4733" t="s">
        <v>2466</v>
      </c>
      <c r="C34" s="4734" t="s">
        <v>1576</v>
      </c>
      <c r="D34" s="4734" t="s">
        <v>1577</v>
      </c>
      <c r="E34" s="4734" t="s">
        <v>1578</v>
      </c>
      <c r="G34" s="4729"/>
      <c r="H34" s="4729"/>
      <c r="I34" s="4730"/>
    </row>
    <row r="35" spans="1:9" s="154" customFormat="1" ht="81" customHeight="1" x14ac:dyDescent="0.35">
      <c r="A35" s="4732"/>
      <c r="B35" s="4733"/>
      <c r="C35" s="4734"/>
      <c r="D35" s="4734"/>
      <c r="E35" s="4734"/>
      <c r="G35" s="4728" t="s">
        <v>1584</v>
      </c>
      <c r="H35" s="4728"/>
      <c r="I35" s="2129">
        <v>14.5</v>
      </c>
    </row>
    <row r="36" spans="1:9" s="154" customFormat="1" ht="86.25" customHeight="1" x14ac:dyDescent="0.35">
      <c r="A36" s="876"/>
      <c r="B36" s="877" t="s">
        <v>2475</v>
      </c>
      <c r="C36" s="2132" t="s">
        <v>1582</v>
      </c>
      <c r="D36" s="2132" t="s">
        <v>1583</v>
      </c>
      <c r="E36" s="2132" t="s">
        <v>1578</v>
      </c>
      <c r="G36" s="4728" t="s">
        <v>1586</v>
      </c>
      <c r="H36" s="4728"/>
      <c r="I36" s="2129">
        <v>51.5</v>
      </c>
    </row>
    <row r="37" spans="1:9" s="154" customFormat="1" ht="90" customHeight="1" x14ac:dyDescent="0.35">
      <c r="A37" s="876"/>
      <c r="B37" s="877" t="s">
        <v>2467</v>
      </c>
      <c r="C37" s="2132" t="s">
        <v>1582</v>
      </c>
      <c r="D37" s="2132" t="s">
        <v>1585</v>
      </c>
      <c r="E37" s="2132" t="s">
        <v>1578</v>
      </c>
      <c r="G37" s="4729" t="s">
        <v>1589</v>
      </c>
      <c r="H37" s="4729"/>
      <c r="I37" s="2129" t="s">
        <v>17</v>
      </c>
    </row>
    <row r="38" spans="1:9" s="154" customFormat="1" ht="92.25" customHeight="1" x14ac:dyDescent="0.35">
      <c r="A38" s="876"/>
      <c r="B38" s="877" t="s">
        <v>2470</v>
      </c>
      <c r="C38" s="2132" t="s">
        <v>1587</v>
      </c>
      <c r="D38" s="2132" t="s">
        <v>1588</v>
      </c>
      <c r="E38" s="2132" t="s">
        <v>1578</v>
      </c>
      <c r="G38" s="4728" t="s">
        <v>1592</v>
      </c>
      <c r="H38" s="4728"/>
      <c r="I38" s="2128" t="s">
        <v>17</v>
      </c>
    </row>
    <row r="39" spans="1:9" s="154" customFormat="1" ht="88.5" customHeight="1" x14ac:dyDescent="0.35">
      <c r="A39" s="876"/>
      <c r="B39" s="877" t="s">
        <v>2474</v>
      </c>
      <c r="C39" s="2132" t="s">
        <v>1590</v>
      </c>
      <c r="D39" s="2132" t="s">
        <v>1591</v>
      </c>
      <c r="E39" s="2132" t="s">
        <v>1578</v>
      </c>
      <c r="G39" s="4728" t="s">
        <v>1595</v>
      </c>
      <c r="H39" s="4728"/>
      <c r="I39" s="2128" t="s">
        <v>17</v>
      </c>
    </row>
    <row r="40" spans="1:9" s="154" customFormat="1" ht="86.25" customHeight="1" x14ac:dyDescent="0.35">
      <c r="A40" s="876"/>
      <c r="B40" s="877" t="s">
        <v>2476</v>
      </c>
      <c r="C40" s="2132" t="s">
        <v>1593</v>
      </c>
      <c r="D40" s="2132" t="s">
        <v>1594</v>
      </c>
      <c r="E40" s="2132" t="s">
        <v>1578</v>
      </c>
    </row>
    <row r="41" spans="1:9" s="154" customFormat="1" ht="92.25" customHeight="1" x14ac:dyDescent="0.35">
      <c r="A41" s="876"/>
      <c r="B41" s="884" t="s">
        <v>2471</v>
      </c>
      <c r="C41" s="2132" t="s">
        <v>1582</v>
      </c>
      <c r="D41" s="2132" t="s">
        <v>1596</v>
      </c>
      <c r="E41" s="2132" t="s">
        <v>1578</v>
      </c>
      <c r="H41" s="886"/>
      <c r="I41" s="886"/>
    </row>
    <row r="42" spans="1:9" s="154" customFormat="1" ht="92.25" customHeight="1" x14ac:dyDescent="0.35">
      <c r="A42" s="876"/>
      <c r="B42" s="885" t="s">
        <v>2469</v>
      </c>
      <c r="C42" s="2132" t="s">
        <v>1582</v>
      </c>
      <c r="D42" s="2132" t="s">
        <v>1597</v>
      </c>
      <c r="E42" s="2132" t="s">
        <v>1578</v>
      </c>
      <c r="H42" s="886"/>
      <c r="I42" s="886"/>
    </row>
    <row r="43" spans="1:9" s="154" customFormat="1" ht="92.25" customHeight="1" x14ac:dyDescent="0.35">
      <c r="A43" s="876"/>
      <c r="B43" s="885" t="s">
        <v>2472</v>
      </c>
      <c r="C43" s="2132" t="s">
        <v>1582</v>
      </c>
      <c r="D43" s="2132" t="s">
        <v>2473</v>
      </c>
      <c r="E43" s="2132" t="s">
        <v>1578</v>
      </c>
      <c r="H43" s="886"/>
      <c r="I43" s="886"/>
    </row>
    <row r="44" spans="1:9" s="154" customFormat="1" ht="92.25" customHeight="1" x14ac:dyDescent="0.35">
      <c r="A44" s="876"/>
      <c r="B44" s="885" t="s">
        <v>2468</v>
      </c>
      <c r="C44" s="2132" t="s">
        <v>1582</v>
      </c>
      <c r="D44" s="2132" t="s">
        <v>1598</v>
      </c>
      <c r="E44" s="2132" t="s">
        <v>1539</v>
      </c>
      <c r="H44" s="886"/>
      <c r="I44" s="886"/>
    </row>
    <row r="45" spans="1:9" s="154" customFormat="1" ht="92.25" customHeight="1" x14ac:dyDescent="0.35">
      <c r="A45" s="876"/>
      <c r="B45" s="877" t="s">
        <v>1758</v>
      </c>
      <c r="C45" s="2132" t="s">
        <v>1568</v>
      </c>
      <c r="D45" s="2132" t="s">
        <v>1688</v>
      </c>
      <c r="E45" s="882" t="s">
        <v>1599</v>
      </c>
      <c r="H45" s="886"/>
      <c r="I45" s="886"/>
    </row>
    <row r="46" spans="1:9" s="154" customFormat="1" ht="92.25" customHeight="1" x14ac:dyDescent="0.35">
      <c r="A46" s="876"/>
      <c r="B46" s="887" t="s">
        <v>1600</v>
      </c>
      <c r="C46" s="2132" t="s">
        <v>1601</v>
      </c>
      <c r="D46" s="2132" t="s">
        <v>1602</v>
      </c>
      <c r="E46" s="2132" t="s">
        <v>1536</v>
      </c>
      <c r="H46" s="886"/>
      <c r="I46" s="886"/>
    </row>
    <row r="47" spans="1:9" s="154" customFormat="1" ht="92.25" customHeight="1" x14ac:dyDescent="0.35">
      <c r="A47" s="876"/>
      <c r="B47" s="887" t="s">
        <v>1603</v>
      </c>
      <c r="C47" s="2132" t="s">
        <v>1561</v>
      </c>
      <c r="D47" s="2132" t="s">
        <v>1604</v>
      </c>
      <c r="E47" s="2132" t="s">
        <v>1536</v>
      </c>
      <c r="H47" s="886"/>
      <c r="I47" s="886"/>
    </row>
    <row r="48" spans="1:9" s="154" customFormat="1" ht="92.25" customHeight="1" x14ac:dyDescent="0.35">
      <c r="A48" s="876"/>
      <c r="B48" s="888" t="s">
        <v>1603</v>
      </c>
      <c r="C48" s="2132" t="s">
        <v>1605</v>
      </c>
      <c r="D48" s="2132" t="s">
        <v>1606</v>
      </c>
      <c r="E48" s="2132" t="s">
        <v>1536</v>
      </c>
      <c r="H48" s="886"/>
      <c r="I48" s="886"/>
    </row>
    <row r="49" spans="1:9" s="154" customFormat="1" ht="92.25" customHeight="1" x14ac:dyDescent="0.35">
      <c r="A49" s="876"/>
      <c r="B49" s="889" t="s">
        <v>1607</v>
      </c>
      <c r="C49" s="2132" t="s">
        <v>1561</v>
      </c>
      <c r="D49" s="2132" t="s">
        <v>1604</v>
      </c>
      <c r="E49" s="2132" t="s">
        <v>1536</v>
      </c>
      <c r="H49" s="886"/>
      <c r="I49" s="886"/>
    </row>
    <row r="50" spans="1:9" s="154" customFormat="1" ht="92.25" customHeight="1" x14ac:dyDescent="0.35">
      <c r="A50" s="876"/>
      <c r="B50" s="887" t="s">
        <v>1608</v>
      </c>
      <c r="C50" s="2132">
        <v>7000</v>
      </c>
      <c r="D50" s="2132" t="s">
        <v>1604</v>
      </c>
      <c r="E50" s="2132" t="s">
        <v>1536</v>
      </c>
      <c r="H50" s="886"/>
      <c r="I50" s="886"/>
    </row>
    <row r="51" spans="1:9" s="154" customFormat="1" ht="92.25" customHeight="1" x14ac:dyDescent="0.35">
      <c r="A51" s="876"/>
      <c r="B51" s="887" t="s">
        <v>1609</v>
      </c>
      <c r="C51" s="2132">
        <v>1800</v>
      </c>
      <c r="D51" s="2132" t="s">
        <v>1610</v>
      </c>
      <c r="E51" s="2132" t="s">
        <v>1536</v>
      </c>
      <c r="H51" s="886"/>
      <c r="I51" s="886"/>
    </row>
    <row r="52" spans="1:9" s="154" customFormat="1" ht="86.25" customHeight="1" x14ac:dyDescent="0.35">
      <c r="A52" s="876"/>
      <c r="B52" s="887" t="s">
        <v>1611</v>
      </c>
      <c r="C52" s="2132" t="s">
        <v>1612</v>
      </c>
      <c r="D52" s="2132" t="s">
        <v>1610</v>
      </c>
      <c r="E52" s="2132" t="s">
        <v>1536</v>
      </c>
      <c r="H52" s="886"/>
      <c r="I52" s="886"/>
    </row>
    <row r="53" spans="1:9" s="154" customFormat="1" ht="86.25" customHeight="1" x14ac:dyDescent="0.35">
      <c r="A53" s="876"/>
      <c r="B53" s="877" t="s">
        <v>1613</v>
      </c>
      <c r="C53" s="2132" t="s">
        <v>1614</v>
      </c>
      <c r="D53" s="2132" t="s">
        <v>1615</v>
      </c>
      <c r="E53" s="2132" t="s">
        <v>1539</v>
      </c>
      <c r="H53" s="886"/>
      <c r="I53" s="886"/>
    </row>
    <row r="54" spans="1:9" s="154" customFormat="1" ht="92.25" customHeight="1" x14ac:dyDescent="0.35">
      <c r="A54" s="876"/>
      <c r="B54" s="877" t="s">
        <v>1616</v>
      </c>
      <c r="C54" s="2132" t="s">
        <v>1614</v>
      </c>
      <c r="D54" s="2132" t="s">
        <v>1617</v>
      </c>
      <c r="E54" s="2132" t="s">
        <v>1539</v>
      </c>
      <c r="H54" s="886"/>
      <c r="I54" s="886"/>
    </row>
    <row r="55" spans="1:9" s="154" customFormat="1" ht="84.75" customHeight="1" x14ac:dyDescent="0.35">
      <c r="A55" s="876"/>
      <c r="B55" s="877" t="s">
        <v>1618</v>
      </c>
      <c r="C55" s="2132" t="s">
        <v>1619</v>
      </c>
      <c r="D55" s="2132" t="s">
        <v>1620</v>
      </c>
      <c r="E55" s="2132" t="s">
        <v>1539</v>
      </c>
      <c r="H55" s="886"/>
      <c r="I55" s="886"/>
    </row>
    <row r="56" spans="1:9" s="154" customFormat="1" ht="92.25" customHeight="1" x14ac:dyDescent="0.35">
      <c r="H56" s="886"/>
      <c r="I56" s="886"/>
    </row>
    <row r="57" spans="1:9" s="154" customFormat="1" ht="27" x14ac:dyDescent="0.35">
      <c r="A57" s="1166" t="s">
        <v>1902</v>
      </c>
      <c r="B57" s="1166"/>
      <c r="C57" s="1166"/>
      <c r="D57" s="1166"/>
      <c r="E57" s="1166"/>
    </row>
    <row r="58" spans="1:9" s="154" customFormat="1" ht="27" x14ac:dyDescent="0.35">
      <c r="A58" s="154" t="s">
        <v>2202</v>
      </c>
      <c r="C58" s="1450"/>
      <c r="D58" s="1450"/>
      <c r="E58" s="1450"/>
    </row>
    <row r="59" spans="1:9" s="154" customFormat="1" ht="27" x14ac:dyDescent="0.35">
      <c r="A59" s="154" t="s">
        <v>1621</v>
      </c>
      <c r="C59" s="1450"/>
      <c r="D59" s="1450"/>
      <c r="E59" s="1450"/>
    </row>
    <row r="60" spans="1:9" s="154" customFormat="1" ht="27" x14ac:dyDescent="0.35">
      <c r="A60" s="1534" t="s">
        <v>2259</v>
      </c>
    </row>
  </sheetData>
  <mergeCells count="65">
    <mergeCell ref="G16:H16"/>
    <mergeCell ref="A1:I6"/>
    <mergeCell ref="A7:I7"/>
    <mergeCell ref="H8:I8"/>
    <mergeCell ref="A9:E9"/>
    <mergeCell ref="G9:I9"/>
    <mergeCell ref="A10:A11"/>
    <mergeCell ref="B10:B11"/>
    <mergeCell ref="C10:C11"/>
    <mergeCell ref="D10:D11"/>
    <mergeCell ref="E10:E11"/>
    <mergeCell ref="G10:H10"/>
    <mergeCell ref="G11:I11"/>
    <mergeCell ref="G13:H13"/>
    <mergeCell ref="G14:H14"/>
    <mergeCell ref="G15:H15"/>
    <mergeCell ref="G17:H17"/>
    <mergeCell ref="G18:H18"/>
    <mergeCell ref="G19:H19"/>
    <mergeCell ref="G20:H20"/>
    <mergeCell ref="A21:A22"/>
    <mergeCell ref="G21:H22"/>
    <mergeCell ref="I21:I22"/>
    <mergeCell ref="A23:A24"/>
    <mergeCell ref="B23:B24"/>
    <mergeCell ref="C23:C24"/>
    <mergeCell ref="D23:D24"/>
    <mergeCell ref="E23:E24"/>
    <mergeCell ref="G23:H24"/>
    <mergeCell ref="I23:I24"/>
    <mergeCell ref="G25:I25"/>
    <mergeCell ref="G26:H26"/>
    <mergeCell ref="G27:H28"/>
    <mergeCell ref="I27:I28"/>
    <mergeCell ref="A28:A30"/>
    <mergeCell ref="A25:A27"/>
    <mergeCell ref="B25:B26"/>
    <mergeCell ref="C25:C26"/>
    <mergeCell ref="D25:D26"/>
    <mergeCell ref="E25:E26"/>
    <mergeCell ref="G31:I31"/>
    <mergeCell ref="G32:H32"/>
    <mergeCell ref="B28:B29"/>
    <mergeCell ref="C28:C29"/>
    <mergeCell ref="D28:D29"/>
    <mergeCell ref="E28:E29"/>
    <mergeCell ref="G29:H30"/>
    <mergeCell ref="I29:I30"/>
    <mergeCell ref="A31:A32"/>
    <mergeCell ref="B31:B32"/>
    <mergeCell ref="C31:C32"/>
    <mergeCell ref="D31:D32"/>
    <mergeCell ref="E31:E32"/>
    <mergeCell ref="I33:I34"/>
    <mergeCell ref="A34:A35"/>
    <mergeCell ref="B34:B35"/>
    <mergeCell ref="C34:C35"/>
    <mergeCell ref="D34:D35"/>
    <mergeCell ref="E34:E35"/>
    <mergeCell ref="G35:H35"/>
    <mergeCell ref="G36:H36"/>
    <mergeCell ref="G37:H37"/>
    <mergeCell ref="G38:H38"/>
    <mergeCell ref="G39:H39"/>
    <mergeCell ref="G33:H34"/>
  </mergeCells>
  <printOptions horizontalCentered="1"/>
  <pageMargins left="0" right="0" top="0" bottom="0" header="0" footer="0"/>
  <pageSetup paperSize="9" scale="21" orientation="portrait" r:id="rId1"/>
  <headerFooter alignWithMargins="0">
    <oddFooter>&amp;R&amp;20Стр. &amp;P из  &amp;N
&amp;A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42</vt:i4>
      </vt:variant>
      <vt:variant>
        <vt:lpstr>Именованные диапазоны</vt:lpstr>
      </vt:variant>
      <vt:variant>
        <vt:i4>51</vt:i4>
      </vt:variant>
    </vt:vector>
  </HeadingPairs>
  <TitlesOfParts>
    <vt:vector size="93" baseType="lpstr">
      <vt:lpstr>Оглавление</vt:lpstr>
      <vt:lpstr>Ликвидация и Акции</vt:lpstr>
      <vt:lpstr>1 Grand Line</vt:lpstr>
      <vt:lpstr>2 Optima</vt:lpstr>
      <vt:lpstr>3 Комп. черепица GL</vt:lpstr>
      <vt:lpstr>4 Комп. черепица Decra</vt:lpstr>
      <vt:lpstr>5 Комп. черепица Luxard</vt:lpstr>
      <vt:lpstr>6 Мягкая кровля</vt:lpstr>
      <vt:lpstr>7 ЦПЧ BalticTile</vt:lpstr>
      <vt:lpstr>8 Доборные элементы</vt:lpstr>
      <vt:lpstr>9 Доборные элементы фасад</vt:lpstr>
      <vt:lpstr>10 Утеплители</vt:lpstr>
      <vt:lpstr>11 Дымники и Флюгеры</vt:lpstr>
      <vt:lpstr>12 Упаковка</vt:lpstr>
      <vt:lpstr>13 Инструмент GL 1</vt:lpstr>
      <vt:lpstr>14 Инструмент GL 2</vt:lpstr>
      <vt:lpstr>15 Инструмент GL 3</vt:lpstr>
      <vt:lpstr>16 Комплектующие</vt:lpstr>
      <vt:lpstr>17 Гидро-пароизоляция</vt:lpstr>
      <vt:lpstr>18 ЭБК GL</vt:lpstr>
      <vt:lpstr>19 ЭБК Optima</vt:lpstr>
      <vt:lpstr>20 Водосточные системы GL</vt:lpstr>
      <vt:lpstr>21 Водосточная система Optima</vt:lpstr>
      <vt:lpstr>22 Виниловый сайдинг GL AMERIKA</vt:lpstr>
      <vt:lpstr>23 Декоративные элементы</vt:lpstr>
      <vt:lpstr>24 Виниловый водосток Rohrfit</vt:lpstr>
      <vt:lpstr>25 Wandstein</vt:lpstr>
      <vt:lpstr>26 Панельные ограждения GL</vt:lpstr>
      <vt:lpstr>27 Эл-ты панельных ограждений</vt:lpstr>
      <vt:lpstr>28 Модульные ограждения GL</vt:lpstr>
      <vt:lpstr>29 Врем.огр.+Рулон+Штакет+Трубы</vt:lpstr>
      <vt:lpstr>30 Откатные ворота</vt:lpstr>
      <vt:lpstr>31 Распашные ворота и калитки</vt:lpstr>
      <vt:lpstr>32 Locinox</vt:lpstr>
      <vt:lpstr>33 Fakro</vt:lpstr>
      <vt:lpstr>34 VELUX OPTIMA</vt:lpstr>
      <vt:lpstr>35 VELUX PREMIUM</vt:lpstr>
      <vt:lpstr>36 Вентиляция Krovent</vt:lpstr>
      <vt:lpstr>37 Вентиляция Vilpe</vt:lpstr>
      <vt:lpstr>38 Фиброцементный сайдинг</vt:lpstr>
      <vt:lpstr>39 Теплицы+Террас.доска</vt:lpstr>
      <vt:lpstr>40 Рекламная продукция GL</vt:lpstr>
      <vt:lpstr>'33 Fakro'!__xlnm.Print_Area</vt:lpstr>
      <vt:lpstr>'16 Комплектующие'!cbr</vt:lpstr>
      <vt:lpstr>'17 Гидро-пароизоляция'!cbr</vt:lpstr>
      <vt:lpstr>'16 Комплектующие'!cbr_1</vt:lpstr>
      <vt:lpstr>'17 Гидро-пароизоляция'!cbr_1</vt:lpstr>
      <vt:lpstr>'16 Комплектующие'!cbr_2</vt:lpstr>
      <vt:lpstr>'17 Гидро-пароизоляция'!cbr_2</vt:lpstr>
      <vt:lpstr>'29 Врем.огр.+Рулон+Штакет+Трубы'!Print_Area</vt:lpstr>
      <vt:lpstr>'31 Распашные ворота и калитки'!Print_Area</vt:lpstr>
      <vt:lpstr>'1 Grand Line'!Область_печати</vt:lpstr>
      <vt:lpstr>'10 Утеплители'!Область_печати</vt:lpstr>
      <vt:lpstr>'11 Дымники и Флюгеры'!Область_печати</vt:lpstr>
      <vt:lpstr>'12 Упаковка'!Область_печати</vt:lpstr>
      <vt:lpstr>'13 Инструмент GL 1'!Область_печати</vt:lpstr>
      <vt:lpstr>'14 Инструмент GL 2'!Область_печати</vt:lpstr>
      <vt:lpstr>'15 Инструмент GL 3'!Область_печати</vt:lpstr>
      <vt:lpstr>'16 Комплектующие'!Область_печати</vt:lpstr>
      <vt:lpstr>'17 Гидро-пароизоляция'!Область_печати</vt:lpstr>
      <vt:lpstr>'18 ЭБК GL'!Область_печати</vt:lpstr>
      <vt:lpstr>'19 ЭБК Optima'!Область_печати</vt:lpstr>
      <vt:lpstr>'2 Optima'!Область_печати</vt:lpstr>
      <vt:lpstr>'20 Водосточные системы GL'!Область_печати</vt:lpstr>
      <vt:lpstr>'21 Водосточная система Optima'!Область_печати</vt:lpstr>
      <vt:lpstr>'22 Виниловый сайдинг GL AMERIKA'!Область_печати</vt:lpstr>
      <vt:lpstr>'23 Декоративные элементы'!Область_печати</vt:lpstr>
      <vt:lpstr>'24 Виниловый водосток Rohrfit'!Область_печати</vt:lpstr>
      <vt:lpstr>'25 Wandstein'!Область_печати</vt:lpstr>
      <vt:lpstr>'26 Панельные ограждения GL'!Область_печати</vt:lpstr>
      <vt:lpstr>'27 Эл-ты панельных ограждений'!Область_печати</vt:lpstr>
      <vt:lpstr>'28 Модульные ограждения GL'!Область_печати</vt:lpstr>
      <vt:lpstr>'29 Врем.огр.+Рулон+Штакет+Трубы'!Область_печати</vt:lpstr>
      <vt:lpstr>'3 Комп. черепица GL'!Область_печати</vt:lpstr>
      <vt:lpstr>'30 Откатные ворота'!Область_печати</vt:lpstr>
      <vt:lpstr>'31 Распашные ворота и калитки'!Область_печати</vt:lpstr>
      <vt:lpstr>'32 Locinox'!Область_печати</vt:lpstr>
      <vt:lpstr>'33 Fakro'!Область_печати</vt:lpstr>
      <vt:lpstr>'34 VELUX OPTIMA'!Область_печати</vt:lpstr>
      <vt:lpstr>'35 VELUX PREMIUM'!Область_печати</vt:lpstr>
      <vt:lpstr>'36 Вентиляция Krovent'!Область_печати</vt:lpstr>
      <vt:lpstr>'37 Вентиляция Vilpe'!Область_печати</vt:lpstr>
      <vt:lpstr>'38 Фиброцементный сайдинг'!Область_печати</vt:lpstr>
      <vt:lpstr>'39 Теплицы+Террас.доска'!Область_печати</vt:lpstr>
      <vt:lpstr>'4 Комп. черепица Decra'!Область_печати</vt:lpstr>
      <vt:lpstr>'40 Рекламная продукция GL'!Область_печати</vt:lpstr>
      <vt:lpstr>'5 Комп. черепица Luxard'!Область_печати</vt:lpstr>
      <vt:lpstr>'6 Мягкая кровля'!Область_печати</vt:lpstr>
      <vt:lpstr>'7 ЦПЧ BalticTile'!Область_печати</vt:lpstr>
      <vt:lpstr>'8 Доборные элементы'!Область_печати</vt:lpstr>
      <vt:lpstr>'9 Доборные элементы фасад'!Область_печати</vt:lpstr>
      <vt:lpstr>'Ликвидация и Акции'!Область_печати</vt:lpstr>
      <vt:lpstr>Оглавление!Область_печати</vt:lpstr>
    </vt:vector>
  </TitlesOfParts>
  <Company>Grizli777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nkorjaushkina</dc:creator>
  <cp:lastModifiedBy>PC</cp:lastModifiedBy>
  <cp:lastPrinted>2016-05-27T12:19:38Z</cp:lastPrinted>
  <dcterms:created xsi:type="dcterms:W3CDTF">2015-07-02T06:31:20Z</dcterms:created>
  <dcterms:modified xsi:type="dcterms:W3CDTF">2016-05-30T06:41:53Z</dcterms:modified>
</cp:coreProperties>
</file>